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2.xml" ContentType="application/vnd.openxmlformats-officedocument.spreadsheetml.comments+xml"/>
  <Override PartName="/xl/tables/table4.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provoutahgov-my.sharepoint.com/personal/jeli_provo_utah_gov/Documents/Desktop/"/>
    </mc:Choice>
  </mc:AlternateContent>
  <xr:revisionPtr revIDLastSave="3" documentId="8_{E63DE5F7-1B10-4B56-94B3-AF712C67E55B}" xr6:coauthVersionLast="47" xr6:coauthVersionMax="47" xr10:uidLastSave="{6EE8AA86-BD04-4C1D-889D-DB321472CE55}"/>
  <bookViews>
    <workbookView xWindow="-120" yWindow="-120" windowWidth="29040" windowHeight="15840" tabRatio="753" xr2:uid="{00000000-000D-0000-FFFF-FFFF00000000}"/>
  </bookViews>
  <sheets>
    <sheet name="Calculator" sheetId="15" r:id="rId1"/>
    <sheet name="Input" sheetId="6" r:id="rId2"/>
    <sheet name="Calculator Table" sheetId="9" r:id="rId3"/>
    <sheet name="Rate Forecast" sheetId="8" state="hidden" r:id="rId4"/>
    <sheet name="Drop Down" sheetId="17" state="hidden" r:id="rId5"/>
  </sheet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 i="6" l="1"/>
  <c r="K15" i="6" l="1"/>
  <c r="M8" i="6" s="1"/>
  <c r="E17" i="6" l="1"/>
  <c r="U27" i="9"/>
  <c r="U26" i="9"/>
  <c r="U25" i="9"/>
  <c r="U24" i="9"/>
  <c r="U23" i="9"/>
  <c r="U22" i="9"/>
  <c r="U21" i="9"/>
  <c r="U20" i="9"/>
  <c r="U19" i="9"/>
  <c r="U18" i="9"/>
  <c r="U17" i="9"/>
  <c r="U16" i="9"/>
  <c r="U15" i="9"/>
  <c r="U14" i="9"/>
  <c r="U13" i="9"/>
  <c r="U12" i="9"/>
  <c r="U11" i="9"/>
  <c r="U10" i="9"/>
  <c r="U9" i="9"/>
  <c r="U8" i="9"/>
  <c r="U7" i="9"/>
  <c r="U6" i="9"/>
  <c r="U5" i="9"/>
  <c r="U4" i="9"/>
  <c r="U3" i="9"/>
  <c r="R4" i="9"/>
  <c r="R5" i="9"/>
  <c r="R6" i="9"/>
  <c r="R7" i="9"/>
  <c r="R8" i="9"/>
  <c r="R9" i="9"/>
  <c r="R10" i="9"/>
  <c r="R11" i="9"/>
  <c r="R12" i="9"/>
  <c r="R13" i="9"/>
  <c r="R14" i="9"/>
  <c r="R15" i="9"/>
  <c r="R16" i="9"/>
  <c r="R17" i="9"/>
  <c r="R18" i="9"/>
  <c r="R19" i="9"/>
  <c r="R20" i="9"/>
  <c r="R21" i="9"/>
  <c r="R22" i="9"/>
  <c r="R23" i="9"/>
  <c r="R24" i="9"/>
  <c r="R25" i="9"/>
  <c r="R26" i="9"/>
  <c r="R27" i="9"/>
  <c r="R3" i="9"/>
  <c r="B11" i="8"/>
  <c r="E15" i="6" l="1"/>
  <c r="H6" i="6"/>
  <c r="K16" i="6" s="1"/>
  <c r="H11" i="6"/>
  <c r="K6" i="6"/>
  <c r="K8" i="6" l="1"/>
  <c r="K10" i="6"/>
  <c r="K11" i="6" s="1"/>
  <c r="K12" i="6" s="1"/>
  <c r="H7" i="6"/>
  <c r="C11" i="8"/>
  <c r="C12" i="8" s="1"/>
  <c r="C13" i="8" s="1"/>
  <c r="C14" i="8" s="1"/>
  <c r="C15" i="8" s="1"/>
  <c r="C16" i="8" s="1"/>
  <c r="C17" i="8" s="1"/>
  <c r="C18" i="8" s="1"/>
  <c r="C19" i="8" s="1"/>
  <c r="C20" i="8" s="1"/>
  <c r="C21" i="8" s="1"/>
  <c r="C22" i="8" s="1"/>
  <c r="C23" i="8" s="1"/>
  <c r="C24" i="8" s="1"/>
  <c r="C25" i="8" s="1"/>
  <c r="C26" i="8" s="1"/>
  <c r="C27" i="8" s="1"/>
  <c r="C28" i="8" s="1"/>
  <c r="C29" i="8" s="1"/>
  <c r="C30" i="8" s="1"/>
  <c r="C31" i="8" s="1"/>
  <c r="C32" i="8" s="1"/>
  <c r="C33" i="8" s="1"/>
  <c r="C34" i="8" s="1"/>
  <c r="C35" i="8" s="1"/>
  <c r="C36" i="8" s="1"/>
  <c r="C37" i="8" s="1"/>
  <c r="C38" i="8" s="1"/>
  <c r="C39" i="8" s="1"/>
  <c r="C40" i="8" s="1"/>
  <c r="C41" i="8" s="1"/>
  <c r="C42" i="8" s="1"/>
  <c r="C43" i="8" s="1"/>
  <c r="C44" i="8" s="1"/>
  <c r="C45" i="8" s="1"/>
  <c r="C46" i="8" s="1"/>
  <c r="C47" i="8" s="1"/>
  <c r="C48" i="8" s="1"/>
  <c r="C49" i="8" s="1"/>
  <c r="C50" i="8" s="1"/>
  <c r="D11" i="8"/>
  <c r="D12" i="8" s="1"/>
  <c r="D13" i="8" s="1"/>
  <c r="D14" i="8" s="1"/>
  <c r="D15" i="8" s="1"/>
  <c r="D16" i="8" s="1"/>
  <c r="D17" i="8" s="1"/>
  <c r="D18" i="8" s="1"/>
  <c r="D19" i="8" s="1"/>
  <c r="D20" i="8" s="1"/>
  <c r="D21" i="8" s="1"/>
  <c r="D22" i="8" s="1"/>
  <c r="D23" i="8" s="1"/>
  <c r="D24" i="8" s="1"/>
  <c r="D25" i="8" s="1"/>
  <c r="D26" i="8" s="1"/>
  <c r="D27" i="8" s="1"/>
  <c r="D28" i="8" s="1"/>
  <c r="D29" i="8" s="1"/>
  <c r="D30" i="8" s="1"/>
  <c r="D31" i="8" s="1"/>
  <c r="D32" i="8" s="1"/>
  <c r="D33" i="8" s="1"/>
  <c r="D34" i="8" s="1"/>
  <c r="D35" i="8" s="1"/>
  <c r="D36" i="8" s="1"/>
  <c r="D37" i="8" s="1"/>
  <c r="D38" i="8" s="1"/>
  <c r="D39" i="8" s="1"/>
  <c r="D40" i="8" s="1"/>
  <c r="D41" i="8" s="1"/>
  <c r="D42" i="8" s="1"/>
  <c r="D43" i="8" s="1"/>
  <c r="D44" i="8" s="1"/>
  <c r="D45" i="8" s="1"/>
  <c r="D46" i="8" s="1"/>
  <c r="D47" i="8" s="1"/>
  <c r="D48" i="8" s="1"/>
  <c r="D49" i="8" s="1"/>
  <c r="D50" i="8" s="1"/>
  <c r="E11" i="8"/>
  <c r="E12" i="8" s="1"/>
  <c r="E13" i="8" s="1"/>
  <c r="E14" i="8" s="1"/>
  <c r="E15" i="8" s="1"/>
  <c r="E16" i="8" s="1"/>
  <c r="E17" i="8" s="1"/>
  <c r="E18" i="8" s="1"/>
  <c r="E19" i="8" s="1"/>
  <c r="E20" i="8" s="1"/>
  <c r="E21" i="8" s="1"/>
  <c r="E22" i="8" s="1"/>
  <c r="E23" i="8" s="1"/>
  <c r="E24" i="8" s="1"/>
  <c r="E25" i="8" s="1"/>
  <c r="E26" i="8" s="1"/>
  <c r="E27" i="8" s="1"/>
  <c r="E28" i="8" s="1"/>
  <c r="E29" i="8" s="1"/>
  <c r="E30" i="8" s="1"/>
  <c r="E31" i="8" s="1"/>
  <c r="E32" i="8" s="1"/>
  <c r="E33" i="8" s="1"/>
  <c r="E34" i="8" s="1"/>
  <c r="E35" i="8" s="1"/>
  <c r="E36" i="8" s="1"/>
  <c r="E37" i="8" s="1"/>
  <c r="E38" i="8" s="1"/>
  <c r="E39" i="8" s="1"/>
  <c r="E40" i="8" s="1"/>
  <c r="E41" i="8" s="1"/>
  <c r="E42" i="8" s="1"/>
  <c r="E43" i="8" s="1"/>
  <c r="E44" i="8" s="1"/>
  <c r="E45" i="8" s="1"/>
  <c r="E46" i="8" s="1"/>
  <c r="E47" i="8" s="1"/>
  <c r="E48" i="8" s="1"/>
  <c r="E49" i="8" s="1"/>
  <c r="E50" i="8" s="1"/>
  <c r="B12" i="8"/>
  <c r="B13" i="8" s="1"/>
  <c r="B14" i="8" s="1"/>
  <c r="B15" i="8" s="1"/>
  <c r="B16" i="8" s="1"/>
  <c r="B17" i="8" s="1"/>
  <c r="B18" i="8" s="1"/>
  <c r="B19" i="8" s="1"/>
  <c r="B20" i="8" s="1"/>
  <c r="B21" i="8" s="1"/>
  <c r="B22" i="8" s="1"/>
  <c r="B23" i="8" s="1"/>
  <c r="B24" i="8" s="1"/>
  <c r="B25" i="8" s="1"/>
  <c r="B26" i="8" s="1"/>
  <c r="B27" i="8" s="1"/>
  <c r="B28" i="8" s="1"/>
  <c r="B29" i="8" s="1"/>
  <c r="B30" i="8" s="1"/>
  <c r="B31" i="8" s="1"/>
  <c r="B32" i="8" s="1"/>
  <c r="B33" i="8" s="1"/>
  <c r="B34" i="8" s="1"/>
  <c r="B35" i="8" s="1"/>
  <c r="B36" i="8" s="1"/>
  <c r="B37" i="8" s="1"/>
  <c r="B38" i="8" s="1"/>
  <c r="B39" i="8" s="1"/>
  <c r="B40" i="8" s="1"/>
  <c r="B41" i="8" s="1"/>
  <c r="B42" i="8" s="1"/>
  <c r="B43" i="8" s="1"/>
  <c r="B44" i="8" s="1"/>
  <c r="B45" i="8" s="1"/>
  <c r="B46" i="8" s="1"/>
  <c r="B47" i="8" s="1"/>
  <c r="B48" i="8" s="1"/>
  <c r="B49" i="8" s="1"/>
  <c r="B50" i="8" s="1"/>
  <c r="E16" i="6"/>
  <c r="K7" i="6"/>
  <c r="E12" i="6"/>
  <c r="N6" i="6" s="1"/>
  <c r="H9" i="6" l="1"/>
  <c r="H8" i="6"/>
  <c r="C3" i="9"/>
  <c r="E4" i="9"/>
  <c r="E12" i="9"/>
  <c r="E20" i="9"/>
  <c r="E14" i="9"/>
  <c r="E5" i="9"/>
  <c r="E13" i="9"/>
  <c r="E21" i="9"/>
  <c r="E6" i="9"/>
  <c r="E22" i="9"/>
  <c r="E7" i="9"/>
  <c r="E15" i="9"/>
  <c r="E23" i="9"/>
  <c r="E27" i="9"/>
  <c r="E8" i="9"/>
  <c r="E16" i="9"/>
  <c r="E24" i="9"/>
  <c r="E19" i="9"/>
  <c r="E9" i="9"/>
  <c r="E17" i="9"/>
  <c r="E25" i="9"/>
  <c r="E11" i="9"/>
  <c r="E10" i="9"/>
  <c r="E18" i="9"/>
  <c r="E26" i="9"/>
  <c r="E3" i="9"/>
  <c r="C4" i="9"/>
  <c r="F3" i="9"/>
  <c r="N10" i="6"/>
  <c r="N11" i="6"/>
  <c r="N12" i="6"/>
  <c r="D3" i="9"/>
  <c r="F4" i="9"/>
  <c r="H3" i="9" l="1"/>
  <c r="G3" i="9"/>
  <c r="H10" i="6"/>
  <c r="B3" i="9" s="1"/>
  <c r="J3" i="9" s="1"/>
  <c r="K9" i="6"/>
  <c r="N7" i="15" s="1"/>
  <c r="B6" i="9" l="1"/>
  <c r="B5" i="9"/>
  <c r="B25" i="9"/>
  <c r="B21" i="9"/>
  <c r="B23" i="9"/>
  <c r="B15" i="9"/>
  <c r="B8" i="9"/>
  <c r="B12" i="9"/>
  <c r="B27" i="9"/>
  <c r="B9" i="9"/>
  <c r="B7" i="9"/>
  <c r="K3" i="9"/>
  <c r="B11" i="9"/>
  <c r="B22" i="9"/>
  <c r="B10" i="9"/>
  <c r="B20" i="9"/>
  <c r="B17" i="9"/>
  <c r="B19" i="9"/>
  <c r="B4" i="9"/>
  <c r="B26" i="9"/>
  <c r="B24" i="9"/>
  <c r="B14" i="9"/>
  <c r="B13" i="9"/>
  <c r="B18" i="9"/>
  <c r="B16" i="9"/>
  <c r="C5" i="9"/>
  <c r="D4" i="9"/>
  <c r="H4" i="9" s="1"/>
  <c r="F5" i="9"/>
  <c r="D5" i="9" l="1"/>
  <c r="H5" i="9" s="1"/>
  <c r="C6" i="9"/>
  <c r="F6" i="9"/>
  <c r="J4" i="9"/>
  <c r="K4" i="9" s="1"/>
  <c r="J5" i="9" l="1"/>
  <c r="K5" i="9" s="1"/>
  <c r="G5" i="9"/>
  <c r="I5" i="9" s="1"/>
  <c r="G4" i="9"/>
  <c r="I4" i="9" s="1"/>
  <c r="I3" i="9"/>
  <c r="C7" i="9"/>
  <c r="D6" i="9"/>
  <c r="F7" i="9"/>
  <c r="M3" i="9" l="1"/>
  <c r="M4" i="9" s="1"/>
  <c r="M5" i="9" s="1"/>
  <c r="J6" i="9"/>
  <c r="K6" i="9" s="1"/>
  <c r="H6" i="9"/>
  <c r="G6" i="9"/>
  <c r="D7" i="9"/>
  <c r="C8" i="9"/>
  <c r="F8" i="9"/>
  <c r="I6" i="9" l="1"/>
  <c r="J7" i="9"/>
  <c r="K7" i="9" s="1"/>
  <c r="H7" i="9"/>
  <c r="G7" i="9"/>
  <c r="L4" i="9"/>
  <c r="L3" i="9"/>
  <c r="O3" i="9" s="1"/>
  <c r="C9" i="9"/>
  <c r="D8" i="9"/>
  <c r="L5" i="9"/>
  <c r="F9" i="9"/>
  <c r="M6" i="9" l="1"/>
  <c r="I7" i="9"/>
  <c r="J8" i="9"/>
  <c r="K8" i="9" s="1"/>
  <c r="H8" i="9"/>
  <c r="O4" i="9"/>
  <c r="O5" i="9" s="1"/>
  <c r="G8" i="9"/>
  <c r="L6" i="9"/>
  <c r="N3" i="9"/>
  <c r="D9" i="9"/>
  <c r="C10" i="9"/>
  <c r="F10" i="9"/>
  <c r="M7" i="9" l="1"/>
  <c r="I8" i="9"/>
  <c r="J9" i="9"/>
  <c r="K9" i="9" s="1"/>
  <c r="H9" i="9"/>
  <c r="O6" i="9"/>
  <c r="T3" i="9"/>
  <c r="Q3" i="9"/>
  <c r="N4" i="9"/>
  <c r="G9" i="9"/>
  <c r="L7" i="9"/>
  <c r="C11" i="9"/>
  <c r="D10" i="9"/>
  <c r="F11" i="9"/>
  <c r="M8" i="9" l="1"/>
  <c r="I9" i="9"/>
  <c r="J10" i="9"/>
  <c r="K10" i="9" s="1"/>
  <c r="H10" i="9"/>
  <c r="O7" i="9"/>
  <c r="T5" i="9"/>
  <c r="T4" i="9"/>
  <c r="Q4" i="9"/>
  <c r="N5" i="9"/>
  <c r="G10" i="9"/>
  <c r="L8" i="9"/>
  <c r="C12" i="9"/>
  <c r="D11" i="9"/>
  <c r="F12" i="9"/>
  <c r="M9" i="9" l="1"/>
  <c r="I10" i="9"/>
  <c r="J11" i="9"/>
  <c r="K11" i="9" s="1"/>
  <c r="H11" i="9"/>
  <c r="O8" i="9"/>
  <c r="T6" i="9"/>
  <c r="Q5" i="9"/>
  <c r="N6" i="9"/>
  <c r="G11" i="9"/>
  <c r="L9" i="9"/>
  <c r="D12" i="9"/>
  <c r="C13" i="9"/>
  <c r="F13" i="9"/>
  <c r="M10" i="9" l="1"/>
  <c r="I11" i="9"/>
  <c r="J12" i="9"/>
  <c r="K12" i="9" s="1"/>
  <c r="H12" i="9"/>
  <c r="O9" i="9"/>
  <c r="Q6" i="9"/>
  <c r="N7" i="9"/>
  <c r="G12" i="9"/>
  <c r="L10" i="9"/>
  <c r="C14" i="9"/>
  <c r="D13" i="9"/>
  <c r="F14" i="9"/>
  <c r="M11" i="9" l="1"/>
  <c r="I12" i="9"/>
  <c r="J13" i="9"/>
  <c r="K13" i="9" s="1"/>
  <c r="H13" i="9"/>
  <c r="O10" i="9"/>
  <c r="T7" i="9"/>
  <c r="Q7" i="9"/>
  <c r="N8" i="9"/>
  <c r="G13" i="9"/>
  <c r="L11" i="9"/>
  <c r="C15" i="9"/>
  <c r="D14" i="9"/>
  <c r="F15" i="9"/>
  <c r="M12" i="9" l="1"/>
  <c r="I13" i="9"/>
  <c r="J14" i="9"/>
  <c r="K14" i="9" s="1"/>
  <c r="H14" i="9"/>
  <c r="O11" i="9"/>
  <c r="T8" i="9"/>
  <c r="Q8" i="9"/>
  <c r="N9" i="9"/>
  <c r="G14" i="9"/>
  <c r="L12" i="9"/>
  <c r="D15" i="9"/>
  <c r="C16" i="9"/>
  <c r="F16" i="9"/>
  <c r="M13" i="9" l="1"/>
  <c r="I14" i="9"/>
  <c r="J15" i="9"/>
  <c r="K15" i="9" s="1"/>
  <c r="H15" i="9"/>
  <c r="O12" i="9"/>
  <c r="T9" i="9"/>
  <c r="Q9" i="9"/>
  <c r="N10" i="9"/>
  <c r="G15" i="9"/>
  <c r="L13" i="9"/>
  <c r="C17" i="9"/>
  <c r="D16" i="9"/>
  <c r="F17" i="9"/>
  <c r="M14" i="9" l="1"/>
  <c r="I15" i="9"/>
  <c r="J16" i="9"/>
  <c r="K16" i="9" s="1"/>
  <c r="H16" i="9"/>
  <c r="O13" i="9"/>
  <c r="T10" i="9"/>
  <c r="Q10" i="9"/>
  <c r="N11" i="9"/>
  <c r="G16" i="9"/>
  <c r="L14" i="9"/>
  <c r="D17" i="9"/>
  <c r="C18" i="9"/>
  <c r="F18" i="9"/>
  <c r="M15" i="9" l="1"/>
  <c r="I16" i="9"/>
  <c r="J17" i="9"/>
  <c r="K17" i="9" s="1"/>
  <c r="H17" i="9"/>
  <c r="O14" i="9"/>
  <c r="T11" i="9"/>
  <c r="Q11" i="9"/>
  <c r="N12" i="9"/>
  <c r="G17" i="9"/>
  <c r="L15" i="9"/>
  <c r="C19" i="9"/>
  <c r="D18" i="9"/>
  <c r="F19" i="9"/>
  <c r="M16" i="9" l="1"/>
  <c r="I17" i="9"/>
  <c r="J18" i="9"/>
  <c r="K18" i="9" s="1"/>
  <c r="H18" i="9"/>
  <c r="O15" i="9"/>
  <c r="T12" i="9"/>
  <c r="Q12" i="9"/>
  <c r="N13" i="9"/>
  <c r="G18" i="9"/>
  <c r="L16" i="9"/>
  <c r="D19" i="9"/>
  <c r="C20" i="9"/>
  <c r="F20" i="9"/>
  <c r="M17" i="9" l="1"/>
  <c r="I18" i="9"/>
  <c r="J19" i="9"/>
  <c r="K19" i="9" s="1"/>
  <c r="H19" i="9"/>
  <c r="O16" i="9"/>
  <c r="T13" i="9"/>
  <c r="Q13" i="9"/>
  <c r="N14" i="9"/>
  <c r="G19" i="9"/>
  <c r="L17" i="9"/>
  <c r="C21" i="9"/>
  <c r="D20" i="9"/>
  <c r="F21" i="9"/>
  <c r="M18" i="9" l="1"/>
  <c r="I19" i="9"/>
  <c r="J20" i="9"/>
  <c r="K20" i="9" s="1"/>
  <c r="H20" i="9"/>
  <c r="O17" i="9"/>
  <c r="T14" i="9"/>
  <c r="Q14" i="9"/>
  <c r="N15" i="9"/>
  <c r="G20" i="9"/>
  <c r="L18" i="9"/>
  <c r="D21" i="9"/>
  <c r="C22" i="9"/>
  <c r="F22" i="9"/>
  <c r="M19" i="9" l="1"/>
  <c r="I20" i="9"/>
  <c r="J21" i="9"/>
  <c r="K21" i="9" s="1"/>
  <c r="H21" i="9"/>
  <c r="O18" i="9"/>
  <c r="T15" i="9"/>
  <c r="Q15" i="9"/>
  <c r="N16" i="9"/>
  <c r="L19" i="9"/>
  <c r="G21" i="9"/>
  <c r="C23" i="9"/>
  <c r="D22" i="9"/>
  <c r="F23" i="9"/>
  <c r="M20" i="9" l="1"/>
  <c r="I21" i="9"/>
  <c r="J22" i="9"/>
  <c r="K22" i="9" s="1"/>
  <c r="H22" i="9"/>
  <c r="O19" i="9"/>
  <c r="T16" i="9"/>
  <c r="Q16" i="9"/>
  <c r="N17" i="9"/>
  <c r="G22" i="9"/>
  <c r="L20" i="9"/>
  <c r="D23" i="9"/>
  <c r="C24" i="9"/>
  <c r="F24" i="9"/>
  <c r="M21" i="9" l="1"/>
  <c r="I22" i="9"/>
  <c r="J23" i="9"/>
  <c r="K23" i="9" s="1"/>
  <c r="H23" i="9"/>
  <c r="O20" i="9"/>
  <c r="T17" i="9"/>
  <c r="Q17" i="9"/>
  <c r="N18" i="9"/>
  <c r="G23" i="9"/>
  <c r="L21" i="9"/>
  <c r="C25" i="9"/>
  <c r="D24" i="9"/>
  <c r="F25" i="9"/>
  <c r="M22" i="9" l="1"/>
  <c r="I23" i="9"/>
  <c r="J24" i="9"/>
  <c r="K24" i="9" s="1"/>
  <c r="H24" i="9"/>
  <c r="O21" i="9"/>
  <c r="T18" i="9"/>
  <c r="Q18" i="9"/>
  <c r="N19" i="9"/>
  <c r="G24" i="9"/>
  <c r="L22" i="9"/>
  <c r="C26" i="9"/>
  <c r="D25" i="9"/>
  <c r="F26" i="9"/>
  <c r="M23" i="9" l="1"/>
  <c r="I24" i="9"/>
  <c r="J25" i="9"/>
  <c r="K25" i="9" s="1"/>
  <c r="H25" i="9"/>
  <c r="O22" i="9"/>
  <c r="T19" i="9"/>
  <c r="Q19" i="9"/>
  <c r="N20" i="9"/>
  <c r="G25" i="9"/>
  <c r="L23" i="9"/>
  <c r="C27" i="9"/>
  <c r="D26" i="9"/>
  <c r="F27" i="9"/>
  <c r="M24" i="9" l="1"/>
  <c r="I25" i="9"/>
  <c r="J26" i="9"/>
  <c r="K26" i="9" s="1"/>
  <c r="H26" i="9"/>
  <c r="O23" i="9"/>
  <c r="T20" i="9"/>
  <c r="Q20" i="9"/>
  <c r="N21" i="9"/>
  <c r="L24" i="9"/>
  <c r="G26" i="9"/>
  <c r="D27" i="9"/>
  <c r="M25" i="9" l="1"/>
  <c r="I26" i="9"/>
  <c r="J27" i="9"/>
  <c r="K27" i="9" s="1"/>
  <c r="H16" i="6" s="1"/>
  <c r="H27" i="9"/>
  <c r="O24" i="9"/>
  <c r="T21" i="9"/>
  <c r="Q21" i="9"/>
  <c r="N22" i="9"/>
  <c r="G27" i="9"/>
  <c r="L25" i="9"/>
  <c r="M26" i="9" l="1"/>
  <c r="H15" i="6"/>
  <c r="H17" i="6" s="1"/>
  <c r="O7" i="15" s="1"/>
  <c r="I27" i="9"/>
  <c r="K17" i="6" s="1"/>
  <c r="O25" i="9"/>
  <c r="T22" i="9"/>
  <c r="Q22" i="9"/>
  <c r="N23" i="9"/>
  <c r="L26" i="9"/>
  <c r="J7" i="15" l="1"/>
  <c r="M27" i="9"/>
  <c r="K7" i="15" s="1"/>
  <c r="O26" i="9"/>
  <c r="T23" i="9"/>
  <c r="Q23" i="9"/>
  <c r="N24" i="9"/>
  <c r="L27" i="9"/>
  <c r="O27" i="9" l="1"/>
  <c r="T24" i="9"/>
  <c r="Q24" i="9"/>
  <c r="N25" i="9"/>
  <c r="T25" i="9" l="1"/>
  <c r="Q25" i="9"/>
  <c r="N26" i="9"/>
  <c r="T26" i="9" l="1"/>
  <c r="Q26" i="9"/>
  <c r="N27" i="9"/>
  <c r="Q7" i="15" l="1"/>
  <c r="T27" i="9"/>
  <c r="Q27" i="9"/>
  <c r="P7"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Charlie Little</author>
  </authors>
  <commentList>
    <comment ref="D6" authorId="0" shapeId="0" xr:uid="{3BB17520-2BA0-47E4-9772-EF5AC35CB4AA}">
      <text>
        <r>
          <rPr>
            <sz val="9"/>
            <color indexed="81"/>
            <rFont val="Tahoma"/>
            <family val="2"/>
          </rPr>
          <t>As of 2023, the average price per kW for solar panels in Utah was $2,650. 
You may edit this price per kW number to match the quoted price per kW from a solar panel vendor to get a more accurate ROI calculation.
If you were not given a cost per kW by your provider, take your total installation cost (excluding any tax credits or sales tax) and divide by the number of kWs of your solar installation.</t>
        </r>
      </text>
    </comment>
    <comment ref="D7" authorId="0" shapeId="0" xr:uid="{2DB14B01-F2F1-4FC3-B1A9-4E7E6F9E0BA9}">
      <text>
        <r>
          <rPr>
            <sz val="9"/>
            <color indexed="81"/>
            <rFont val="Tahoma"/>
            <family val="2"/>
          </rPr>
          <t>If you are financing your solar panels, you can enter the down payment percent for your loan here.</t>
        </r>
      </text>
    </comment>
    <comment ref="D8" authorId="0" shapeId="0" xr:uid="{FC4F1EDA-106D-4AD2-B854-66C19683C931}">
      <text>
        <r>
          <rPr>
            <sz val="9"/>
            <color indexed="81"/>
            <rFont val="Tahoma"/>
            <family val="2"/>
          </rPr>
          <t>If you are financing your solar panels, you can enter your quoted annual interest rate here.</t>
        </r>
      </text>
    </comment>
    <comment ref="D9" authorId="0" shapeId="0" xr:uid="{3E4E8224-E711-4A8D-B826-E5EF2FAF89F0}">
      <text>
        <r>
          <rPr>
            <sz val="9"/>
            <color indexed="81"/>
            <rFont val="Tahoma"/>
            <family val="2"/>
          </rPr>
          <t>If you are financing your solar panels, you can enter the number of years of your loan here.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Charlie Little</author>
  </authors>
  <commentList>
    <comment ref="B2" authorId="0" shapeId="0" xr:uid="{3034ACBC-8AB1-4183-9A3E-FF00F9D28FAE}">
      <text>
        <r>
          <rPr>
            <b/>
            <sz val="9"/>
            <color indexed="81"/>
            <rFont val="Tahoma"/>
            <family val="2"/>
          </rPr>
          <t>Charlie Little:</t>
        </r>
        <r>
          <rPr>
            <sz val="9"/>
            <color indexed="81"/>
            <rFont val="Tahoma"/>
            <family val="2"/>
          </rPr>
          <t xml:space="preserve">
Calculation to approximate solar cell degradation over time</t>
        </r>
      </text>
    </comment>
    <comment ref="J2" authorId="0" shapeId="0" xr:uid="{86A1716A-5C2E-4D33-9E0F-D2B1BEE19E59}">
      <text>
        <r>
          <rPr>
            <b/>
            <sz val="9"/>
            <color indexed="81"/>
            <rFont val="Tahoma"/>
            <family val="2"/>
          </rPr>
          <t>Charlie Little:</t>
        </r>
        <r>
          <rPr>
            <sz val="9"/>
            <color indexed="81"/>
            <rFont val="Tahoma"/>
            <family val="2"/>
          </rPr>
          <t xml:space="preserve">
kWh portion of bill only
*Note: All metered consumption and generation is billed/credited, not just the net kWh of consumption minus production.
Equation Logic:
If Net Solar kWh &lt; 0, multiply by credit rate. Calculate tiered billing of Monthly Shade Consumption. Sum the dollar amounts of both calculations.
If Net Solar kWh &gt; 0, add kWh to Monthly Shade Consumption kWh. Caclulate tiered billing of the summed kWh for total dollar amount.
</t>
        </r>
      </text>
    </comment>
    <comment ref="K2" authorId="0" shapeId="0" xr:uid="{0CD70D22-A11E-45F6-8ED7-C5210213F5DD}">
      <text>
        <r>
          <rPr>
            <b/>
            <sz val="9"/>
            <color indexed="81"/>
            <rFont val="Tahoma"/>
            <family val="2"/>
          </rPr>
          <t>Charlie Little:</t>
        </r>
        <r>
          <rPr>
            <sz val="9"/>
            <color indexed="81"/>
            <rFont val="Tahoma"/>
            <family val="2"/>
          </rPr>
          <t xml:space="preserve">
Includes kWh, service charge, and tax
Excess solar credits set to 0 every March.</t>
        </r>
      </text>
    </comment>
  </commentList>
</comments>
</file>

<file path=xl/sharedStrings.xml><?xml version="1.0" encoding="utf-8"?>
<sst xmlns="http://schemas.openxmlformats.org/spreadsheetml/2006/main" count="102" uniqueCount="86">
  <si>
    <t>Solar ROI Calculator</t>
  </si>
  <si>
    <t>Instructions</t>
  </si>
  <si>
    <t>Energy Use</t>
  </si>
  <si>
    <t>Shared Solar</t>
  </si>
  <si>
    <t>Rooftop Solar</t>
  </si>
  <si>
    <r>
      <t xml:space="preserve">1. Select your </t>
    </r>
    <r>
      <rPr>
        <b/>
        <sz val="10"/>
        <color rgb="FF7030A0"/>
        <rFont val="Arial"/>
        <family val="2"/>
      </rPr>
      <t>Average Monthly kWh</t>
    </r>
    <r>
      <rPr>
        <sz val="10"/>
        <color theme="1"/>
        <rFont val="Arial"/>
        <family val="2"/>
      </rPr>
      <t xml:space="preserve"> from the dropdown menu</t>
    </r>
  </si>
  <si>
    <t>Average Monthly kWh</t>
  </si>
  <si>
    <t>Solar Blocks</t>
  </si>
  <si>
    <t>Monthly Bill Reduction</t>
  </si>
  <si>
    <t>Lifetime ROI</t>
  </si>
  <si>
    <t>System kW Size</t>
  </si>
  <si>
    <t>Payment Type</t>
  </si>
  <si>
    <t>Total System Cost</t>
  </si>
  <si>
    <t>Years to Breakeven</t>
  </si>
  <si>
    <r>
      <t xml:space="preserve">2. Select your </t>
    </r>
    <r>
      <rPr>
        <b/>
        <sz val="10"/>
        <color theme="4"/>
        <rFont val="Arial"/>
        <family val="2"/>
      </rPr>
      <t>Solar Blocks</t>
    </r>
    <r>
      <rPr>
        <sz val="10"/>
        <color theme="1"/>
        <rFont val="Arial"/>
        <family val="2"/>
      </rPr>
      <t xml:space="preserve"> from the dropdown menu</t>
    </r>
  </si>
  <si>
    <t>Cash</t>
  </si>
  <si>
    <r>
      <t xml:space="preserve">3. Select your </t>
    </r>
    <r>
      <rPr>
        <b/>
        <sz val="10"/>
        <color theme="5"/>
        <rFont val="Arial"/>
        <family val="2"/>
      </rPr>
      <t>System kW Size</t>
    </r>
    <r>
      <rPr>
        <sz val="10"/>
        <color theme="1"/>
        <rFont val="Arial"/>
        <family val="2"/>
      </rPr>
      <t xml:space="preserve"> and </t>
    </r>
    <r>
      <rPr>
        <b/>
        <sz val="10"/>
        <color theme="5"/>
        <rFont val="Arial"/>
        <family val="2"/>
      </rPr>
      <t>Payment Type</t>
    </r>
    <r>
      <rPr>
        <sz val="10"/>
        <color theme="1"/>
        <rFont val="Arial"/>
        <family val="2"/>
      </rPr>
      <t xml:space="preserve"> from the dropdown menu</t>
    </r>
  </si>
  <si>
    <t>The numbers in the  Variables table can be edited to tailor the ROI calculations to your specific solar panel installation.</t>
  </si>
  <si>
    <t>Variables</t>
  </si>
  <si>
    <t>Net Consumption</t>
  </si>
  <si>
    <t>Total Solar Panel Cost</t>
  </si>
  <si>
    <t>Current Rates</t>
  </si>
  <si>
    <t>Cost per kW</t>
  </si>
  <si>
    <t>Total Monthly Consumption</t>
  </si>
  <si>
    <t>Installation Cost</t>
  </si>
  <si>
    <t>Service Charge</t>
  </si>
  <si>
    <t>Percent Down</t>
  </si>
  <si>
    <t>Monthly Shade Consumption</t>
  </si>
  <si>
    <t>Sales Tax</t>
  </si>
  <si>
    <t>Interest Rate</t>
  </si>
  <si>
    <t>Monthly Sun Consumption</t>
  </si>
  <si>
    <t>Tax Credit</t>
  </si>
  <si>
    <t>Loan Term</t>
  </si>
  <si>
    <t>Monthly Production</t>
  </si>
  <si>
    <t>Cash Cost</t>
  </si>
  <si>
    <t>Energy Charge</t>
  </si>
  <si>
    <t>Net Solar kWh</t>
  </si>
  <si>
    <t>Down Payment</t>
  </si>
  <si>
    <t>The boxes in gray contain calculations and should not be changed.</t>
  </si>
  <si>
    <t>Assumptions</t>
  </si>
  <si>
    <t>Hourly Consumption</t>
  </si>
  <si>
    <t>Annual Payment</t>
  </si>
  <si>
    <t>Current Year</t>
  </si>
  <si>
    <t>Hourly Production</t>
  </si>
  <si>
    <t>Financing Cost</t>
  </si>
  <si>
    <t>1000+</t>
  </si>
  <si>
    <t>Credit</t>
  </si>
  <si>
    <t>Federal Credit</t>
  </si>
  <si>
    <t>Average Energy Bill</t>
  </si>
  <si>
    <t>Tax</t>
  </si>
  <si>
    <t>Shade Hours</t>
  </si>
  <si>
    <t>Average Non-Solar Bill</t>
  </si>
  <si>
    <t>Sunlight Hours</t>
  </si>
  <si>
    <t>Average Solar Bill</t>
  </si>
  <si>
    <t>Remaining kWh</t>
  </si>
  <si>
    <t>Rate Increase</t>
  </si>
  <si>
    <t>Efficiency</t>
  </si>
  <si>
    <t>Average Monthly Savings</t>
  </si>
  <si>
    <t>Monthly Savings</t>
  </si>
  <si>
    <t>Credit Decrease</t>
  </si>
  <si>
    <t>Degradation</t>
  </si>
  <si>
    <t>RATES</t>
  </si>
  <si>
    <t>SHARED SOLAR</t>
  </si>
  <si>
    <t>ROOFTOP SOLAR</t>
  </si>
  <si>
    <t>ROI</t>
  </si>
  <si>
    <t>Year</t>
  </si>
  <si>
    <t>Block 1</t>
  </si>
  <si>
    <t>Block 2</t>
  </si>
  <si>
    <t>Block 3</t>
  </si>
  <si>
    <t>Annual Non-Solar Bill</t>
  </si>
  <si>
    <t>Annual Shared Solar Bill</t>
  </si>
  <si>
    <t>Shared Solar Avoided Cost</t>
  </si>
  <si>
    <t>Monthly kWh Bill</t>
  </si>
  <si>
    <t>Annual Rooftop Bill</t>
  </si>
  <si>
    <t>Rooftop Avoided Cost</t>
  </si>
  <si>
    <t>Shared Solar ROI</t>
  </si>
  <si>
    <t>Cash ROI</t>
  </si>
  <si>
    <t>Financing ROI</t>
  </si>
  <si>
    <t>Cash Breakeven</t>
  </si>
  <si>
    <t>Financing Breakeven</t>
  </si>
  <si>
    <t>Rate Projections</t>
  </si>
  <si>
    <t>Timeline</t>
  </si>
  <si>
    <t>kWh Dopdown</t>
  </si>
  <si>
    <t>kW Dropdown</t>
  </si>
  <si>
    <t>Years After Installation Dropdown</t>
  </si>
  <si>
    <t>Financing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</si>
</sst>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quot;$&quot;* #,##0_);_(&quot;$&quot;* \(#,##0\);_(&quot;$&quot;* &quot;-&quot;??_);_(@_)"/>
    <numFmt numFmtId="165" formatCode="_(&quot;$&quot;* #,##0.000_);_(&quot;$&quot;* \(#,##0.000\);_(&quot;$&quot;* &quot;-&quot;??_);_(@_)"/>
    <numFmt numFmtId="166" formatCode="&quot;$&quot;#,##0"/>
    <numFmt numFmtId="167" formatCode="0.0000"/>
    <numFmt numFmtId="168" formatCode="_(* #,##0_);_(* \(#,##0\);_(* &quot;-&quot;??_);_(@_)"/>
    <numFmt numFmtId="169" formatCode="0.0%"/>
    <numFmt numFmtId="170" formatCode="_(&quot;$&quot;* #,##0.0000_);_(&quot;$&quot;* \(#,##0.0000\);_(&quot;$&quot;* &quot;-&quot;??_);_(@_)"/>
  </numFmts>
  <fonts count="26" x14ac:knownFonts="1">
    <font>
      <sz val="11"/>
      <color theme="1"/>
      <name val="Calibri"/>
      <family val="2"/>
      <scheme val="minor"/>
    </font>
    <font>
      <sz val="11"/>
      <color theme="1"/>
      <name val="Calibri"/>
      <family val="2"/>
      <scheme val="minor"/>
    </font>
    <font>
      <u/>
      <sz val="11"/>
      <color theme="10"/>
      <name val="Calibri"/>
      <family val="2"/>
      <scheme val="minor"/>
    </font>
    <font>
      <sz val="14"/>
      <color theme="0"/>
      <name val="Arial"/>
      <family val="2"/>
    </font>
    <font>
      <sz val="11"/>
      <color theme="1"/>
      <name val="Arial"/>
      <family val="2"/>
    </font>
    <font>
      <sz val="10"/>
      <color theme="1"/>
      <name val="Arial"/>
      <family val="2"/>
    </font>
    <font>
      <u/>
      <sz val="11"/>
      <color theme="5"/>
      <name val="Arial"/>
      <family val="2"/>
    </font>
    <font>
      <b/>
      <sz val="11"/>
      <color theme="1"/>
      <name val="Calibri"/>
      <family val="2"/>
      <scheme val="minor"/>
    </font>
    <font>
      <sz val="8"/>
      <name val="Calibri"/>
      <family val="2"/>
      <scheme val="minor"/>
    </font>
    <font>
      <sz val="9"/>
      <color indexed="81"/>
      <name val="Tahoma"/>
      <family val="2"/>
    </font>
    <font>
      <b/>
      <sz val="9"/>
      <color indexed="81"/>
      <name val="Tahoma"/>
      <family val="2"/>
    </font>
    <font>
      <sz val="11"/>
      <name val="Calibri"/>
      <family val="2"/>
      <scheme val="minor"/>
    </font>
    <font>
      <b/>
      <sz val="20"/>
      <color theme="0"/>
      <name val="Calibri"/>
      <family val="2"/>
      <scheme val="minor"/>
    </font>
    <font>
      <sz val="18"/>
      <color theme="1"/>
      <name val="Calibri"/>
      <family val="2"/>
      <scheme val="minor"/>
    </font>
    <font>
      <u/>
      <sz val="11"/>
      <name val="Arial"/>
      <family val="2"/>
    </font>
    <font>
      <sz val="9"/>
      <color theme="1"/>
      <name val="Calibri"/>
      <family val="2"/>
      <scheme val="minor"/>
    </font>
    <font>
      <b/>
      <sz val="10"/>
      <color theme="4"/>
      <name val="Arial"/>
      <family val="2"/>
    </font>
    <font>
      <b/>
      <sz val="10"/>
      <color theme="5"/>
      <name val="Arial"/>
      <family val="2"/>
    </font>
    <font>
      <b/>
      <sz val="12"/>
      <color theme="1"/>
      <name val="Calibri"/>
      <family val="2"/>
      <scheme val="minor"/>
    </font>
    <font>
      <b/>
      <sz val="12"/>
      <color rgb="FF7030A0"/>
      <name val="Calibri"/>
      <family val="2"/>
      <scheme val="minor"/>
    </font>
    <font>
      <b/>
      <sz val="12"/>
      <color theme="5"/>
      <name val="Calibri"/>
      <family val="2"/>
      <scheme val="minor"/>
    </font>
    <font>
      <b/>
      <sz val="12"/>
      <name val="Calibri"/>
      <family val="2"/>
      <scheme val="minor"/>
    </font>
    <font>
      <u/>
      <sz val="11"/>
      <color theme="4"/>
      <name val="Arial"/>
      <family val="2"/>
    </font>
    <font>
      <sz val="11"/>
      <name val="Arial"/>
      <family val="2"/>
    </font>
    <font>
      <u val="singleAccounting"/>
      <sz val="11"/>
      <color rgb="FF7030A0"/>
      <name val="Arial"/>
      <family val="2"/>
    </font>
    <font>
      <b/>
      <sz val="10"/>
      <color rgb="FF7030A0"/>
      <name val="Arial"/>
      <family val="2"/>
    </font>
  </fonts>
  <fills count="12">
    <fill>
      <patternFill patternType="none"/>
    </fill>
    <fill>
      <patternFill patternType="gray125"/>
    </fill>
    <fill>
      <patternFill patternType="solid">
        <fgColor theme="5" tint="0.79998168889431442"/>
        <bgColor indexed="64"/>
      </patternFill>
    </fill>
    <fill>
      <patternFill patternType="solid">
        <fgColor theme="5"/>
        <bgColor indexed="64"/>
      </patternFill>
    </fill>
    <fill>
      <patternFill patternType="solid">
        <fgColor theme="4"/>
        <bgColor indexed="64"/>
      </patternFill>
    </fill>
    <fill>
      <patternFill patternType="solid">
        <fgColor theme="0"/>
        <bgColor indexed="64"/>
      </patternFill>
    </fill>
    <fill>
      <patternFill patternType="solid">
        <fgColor theme="2"/>
        <bgColor indexed="64"/>
      </patternFill>
    </fill>
    <fill>
      <patternFill patternType="solid">
        <fgColor theme="1" tint="0.34998626667073579"/>
        <bgColor indexed="64"/>
      </patternFill>
    </fill>
    <fill>
      <patternFill patternType="solid">
        <fgColor rgb="FF7030A0"/>
        <bgColor indexed="64"/>
      </patternFill>
    </fill>
    <fill>
      <patternFill patternType="solid">
        <fgColor theme="0" tint="-4.9989318521683403E-2"/>
        <bgColor indexed="64"/>
      </patternFill>
    </fill>
    <fill>
      <patternFill patternType="solid">
        <fgColor rgb="FFD5B8EA"/>
        <bgColor indexed="64"/>
      </patternFill>
    </fill>
    <fill>
      <patternFill patternType="solid">
        <fgColor theme="4" tint="0.59999389629810485"/>
        <bgColor indexed="64"/>
      </patternFill>
    </fill>
  </fills>
  <borders count="40">
    <border>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style="thin">
        <color indexed="64"/>
      </left>
      <right/>
      <top/>
      <bottom style="double">
        <color indexed="64"/>
      </bottom>
      <diagonal/>
    </border>
    <border>
      <left style="thin">
        <color indexed="64"/>
      </left>
      <right style="thin">
        <color indexed="64"/>
      </right>
      <top style="dashed">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dotted">
        <color indexed="64"/>
      </top>
      <bottom style="thin">
        <color indexed="64"/>
      </bottom>
      <diagonal/>
    </border>
    <border>
      <left/>
      <right style="thin">
        <color theme="0" tint="-0.34998626667073579"/>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theme="2" tint="-0.249977111117893"/>
      </left>
      <right style="medium">
        <color indexed="64"/>
      </right>
      <top style="thin">
        <color indexed="64"/>
      </top>
      <bottom style="medium">
        <color indexed="64"/>
      </bottom>
      <diagonal/>
    </border>
    <border>
      <left style="thin">
        <color theme="2" tint="-0.249977111117893"/>
      </left>
      <right style="thin">
        <color theme="2" tint="-0.249977111117893"/>
      </right>
      <top style="thin">
        <color indexed="64"/>
      </top>
      <bottom style="medium">
        <color indexed="64"/>
      </bottom>
      <diagonal/>
    </border>
    <border>
      <left style="medium">
        <color indexed="64"/>
      </left>
      <right style="thin">
        <color theme="2" tint="-0.249977111117893"/>
      </right>
      <top style="thin">
        <color indexed="64"/>
      </top>
      <bottom style="thin">
        <color indexed="64"/>
      </bottom>
      <diagonal/>
    </border>
    <border>
      <left style="thin">
        <color theme="2" tint="-0.249977111117893"/>
      </left>
      <right style="medium">
        <color indexed="64"/>
      </right>
      <top style="thin">
        <color indexed="64"/>
      </top>
      <bottom style="thin">
        <color indexed="64"/>
      </bottom>
      <diagonal/>
    </border>
    <border>
      <left style="thin">
        <color theme="2" tint="-0.249977111117893"/>
      </left>
      <right/>
      <top style="thin">
        <color indexed="64"/>
      </top>
      <bottom style="thin">
        <color indexed="64"/>
      </bottom>
      <diagonal/>
    </border>
    <border>
      <left style="thin">
        <color theme="2" tint="-0.249977111117893"/>
      </left>
      <right/>
      <top style="thin">
        <color indexed="64"/>
      </top>
      <bottom style="medium">
        <color indexed="64"/>
      </bottom>
      <diagonal/>
    </border>
    <border>
      <left style="thin">
        <color theme="2" tint="-0.249977111117893"/>
      </left>
      <right style="thin">
        <color theme="2" tint="-0.249977111117893"/>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cellStyleXfs>
  <cellXfs count="137">
    <xf numFmtId="0" fontId="0" fillId="0" borderId="0" xfId="0"/>
    <xf numFmtId="1" fontId="0" fillId="0" borderId="0" xfId="0" applyNumberFormat="1"/>
    <xf numFmtId="0" fontId="0" fillId="0" borderId="0" xfId="0" applyAlignment="1">
      <alignment horizontal="center"/>
    </xf>
    <xf numFmtId="9" fontId="0" fillId="0" borderId="0" xfId="3" applyFont="1"/>
    <xf numFmtId="0" fontId="0" fillId="5" borderId="0" xfId="0" applyFill="1"/>
    <xf numFmtId="2" fontId="0" fillId="0" borderId="0" xfId="0" applyNumberFormat="1"/>
    <xf numFmtId="164" fontId="0" fillId="0" borderId="0" xfId="0" applyNumberFormat="1"/>
    <xf numFmtId="1" fontId="0" fillId="0" borderId="15" xfId="0" applyNumberFormat="1" applyBorder="1"/>
    <xf numFmtId="1" fontId="0" fillId="0" borderId="16" xfId="0" applyNumberFormat="1" applyBorder="1"/>
    <xf numFmtId="167" fontId="0" fillId="0" borderId="0" xfId="0" applyNumberFormat="1"/>
    <xf numFmtId="165" fontId="0" fillId="0" borderId="0" xfId="0" applyNumberFormat="1"/>
    <xf numFmtId="168" fontId="0" fillId="0" borderId="0" xfId="1" applyNumberFormat="1" applyFont="1"/>
    <xf numFmtId="1" fontId="0" fillId="0" borderId="0" xfId="0" applyNumberFormat="1" applyAlignment="1">
      <alignment horizontal="center"/>
    </xf>
    <xf numFmtId="0" fontId="0" fillId="0" borderId="0" xfId="0" applyAlignment="1">
      <alignment horizontal="center" wrapText="1"/>
    </xf>
    <xf numFmtId="44" fontId="0" fillId="0" borderId="0" xfId="0" applyNumberFormat="1"/>
    <xf numFmtId="164" fontId="0" fillId="0" borderId="0" xfId="2" applyNumberFormat="1" applyFont="1" applyAlignment="1">
      <alignment horizontal="center"/>
    </xf>
    <xf numFmtId="165" fontId="0" fillId="0" borderId="0" xfId="2" applyNumberFormat="1" applyFont="1" applyAlignment="1">
      <alignment horizontal="center"/>
    </xf>
    <xf numFmtId="164" fontId="0" fillId="0" borderId="0" xfId="0" applyNumberFormat="1" applyAlignment="1">
      <alignment horizontal="center"/>
    </xf>
    <xf numFmtId="1" fontId="0" fillId="6" borderId="15" xfId="0" applyNumberFormat="1" applyFill="1" applyBorder="1"/>
    <xf numFmtId="0" fontId="0" fillId="6" borderId="15" xfId="0" applyFill="1" applyBorder="1"/>
    <xf numFmtId="0" fontId="0" fillId="6" borderId="16" xfId="0" applyFill="1" applyBorder="1"/>
    <xf numFmtId="0" fontId="0" fillId="6" borderId="14" xfId="0" applyFill="1" applyBorder="1"/>
    <xf numFmtId="168" fontId="0" fillId="6" borderId="14" xfId="1" applyNumberFormat="1" applyFont="1" applyFill="1" applyBorder="1" applyAlignment="1">
      <alignment horizontal="center"/>
    </xf>
    <xf numFmtId="168" fontId="0" fillId="6" borderId="15" xfId="1" applyNumberFormat="1" applyFont="1" applyFill="1" applyBorder="1" applyAlignment="1">
      <alignment horizontal="center"/>
    </xf>
    <xf numFmtId="43" fontId="0" fillId="6" borderId="15" xfId="1" applyFont="1" applyFill="1" applyBorder="1" applyAlignment="1">
      <alignment horizontal="center"/>
    </xf>
    <xf numFmtId="43" fontId="0" fillId="6" borderId="16" xfId="1" applyFont="1" applyFill="1" applyBorder="1" applyAlignment="1">
      <alignment horizontal="center"/>
    </xf>
    <xf numFmtId="164" fontId="0" fillId="6" borderId="14" xfId="0" applyNumberFormat="1" applyFill="1" applyBorder="1"/>
    <xf numFmtId="0" fontId="0" fillId="6" borderId="10" xfId="0" applyFill="1" applyBorder="1"/>
    <xf numFmtId="164" fontId="0" fillId="6" borderId="14" xfId="2" applyNumberFormat="1" applyFont="1" applyFill="1" applyBorder="1"/>
    <xf numFmtId="164" fontId="0" fillId="6" borderId="15" xfId="2" applyNumberFormat="1" applyFont="1" applyFill="1" applyBorder="1"/>
    <xf numFmtId="0" fontId="0" fillId="6" borderId="19" xfId="0" applyFill="1" applyBorder="1"/>
    <xf numFmtId="164" fontId="0" fillId="6" borderId="17" xfId="2" applyNumberFormat="1" applyFont="1" applyFill="1" applyBorder="1"/>
    <xf numFmtId="0" fontId="0" fillId="6" borderId="20" xfId="0" applyFill="1" applyBorder="1"/>
    <xf numFmtId="164" fontId="0" fillId="6" borderId="21" xfId="2" applyNumberFormat="1" applyFont="1" applyFill="1" applyBorder="1"/>
    <xf numFmtId="0" fontId="0" fillId="6" borderId="18" xfId="0" applyFill="1" applyBorder="1"/>
    <xf numFmtId="164" fontId="0" fillId="6" borderId="19" xfId="2" applyNumberFormat="1" applyFont="1" applyFill="1" applyBorder="1"/>
    <xf numFmtId="0" fontId="0" fillId="6" borderId="6" xfId="0" applyFill="1" applyBorder="1"/>
    <xf numFmtId="164" fontId="0" fillId="6" borderId="16" xfId="2" applyNumberFormat="1" applyFont="1" applyFill="1" applyBorder="1"/>
    <xf numFmtId="44" fontId="0" fillId="6" borderId="14" xfId="2" applyFont="1" applyFill="1" applyBorder="1"/>
    <xf numFmtId="44" fontId="0" fillId="6" borderId="15" xfId="2" applyFont="1" applyFill="1" applyBorder="1"/>
    <xf numFmtId="170" fontId="0" fillId="6" borderId="15" xfId="2" applyNumberFormat="1" applyFont="1" applyFill="1" applyBorder="1"/>
    <xf numFmtId="0" fontId="0" fillId="6" borderId="10" xfId="0" applyFill="1" applyBorder="1" applyAlignment="1">
      <alignment horizontal="right"/>
    </xf>
    <xf numFmtId="170" fontId="0" fillId="6" borderId="16" xfId="2" applyNumberFormat="1" applyFont="1" applyFill="1" applyBorder="1"/>
    <xf numFmtId="0" fontId="0" fillId="6" borderId="8" xfId="0" applyFill="1" applyBorder="1"/>
    <xf numFmtId="1" fontId="0" fillId="6" borderId="14" xfId="0" applyNumberFormat="1" applyFill="1" applyBorder="1"/>
    <xf numFmtId="10" fontId="0" fillId="6" borderId="2" xfId="0" applyNumberFormat="1" applyFill="1" applyBorder="1"/>
    <xf numFmtId="1" fontId="0" fillId="6" borderId="16" xfId="0" applyNumberFormat="1" applyFill="1" applyBorder="1"/>
    <xf numFmtId="10" fontId="0" fillId="6" borderId="7" xfId="0" applyNumberFormat="1" applyFill="1" applyBorder="1"/>
    <xf numFmtId="1" fontId="0" fillId="6" borderId="15" xfId="0" applyNumberFormat="1" applyFill="1" applyBorder="1" applyAlignment="1">
      <alignment horizontal="left"/>
    </xf>
    <xf numFmtId="1" fontId="11" fillId="6" borderId="3" xfId="0" applyNumberFormat="1" applyFont="1" applyFill="1" applyBorder="1" applyAlignment="1">
      <alignment horizontal="center"/>
    </xf>
    <xf numFmtId="9" fontId="0" fillId="6" borderId="3" xfId="3" applyFont="1" applyFill="1" applyBorder="1" applyAlignment="1">
      <alignment horizontal="center"/>
    </xf>
    <xf numFmtId="169" fontId="11" fillId="6" borderId="7" xfId="0" applyNumberFormat="1" applyFont="1" applyFill="1" applyBorder="1" applyAlignment="1">
      <alignment horizontal="center"/>
    </xf>
    <xf numFmtId="0" fontId="0" fillId="6" borderId="24" xfId="0" applyFill="1" applyBorder="1"/>
    <xf numFmtId="164" fontId="0" fillId="6" borderId="15" xfId="0" applyNumberFormat="1" applyFill="1" applyBorder="1"/>
    <xf numFmtId="164" fontId="0" fillId="6" borderId="24" xfId="0" applyNumberFormat="1" applyFill="1" applyBorder="1"/>
    <xf numFmtId="9" fontId="11" fillId="6" borderId="3" xfId="3" applyFont="1" applyFill="1" applyBorder="1" applyAlignment="1">
      <alignment horizontal="center"/>
    </xf>
    <xf numFmtId="9" fontId="0" fillId="6" borderId="13" xfId="3" applyFont="1" applyFill="1" applyBorder="1"/>
    <xf numFmtId="166" fontId="1" fillId="0" borderId="2" xfId="2" applyNumberFormat="1" applyFont="1" applyBorder="1" applyAlignment="1" applyProtection="1">
      <alignment horizontal="center"/>
      <protection locked="0"/>
    </xf>
    <xf numFmtId="9" fontId="1" fillId="0" borderId="3" xfId="3" applyFont="1" applyBorder="1" applyAlignment="1" applyProtection="1">
      <alignment horizontal="center"/>
      <protection locked="0"/>
    </xf>
    <xf numFmtId="1" fontId="1" fillId="0" borderId="7" xfId="0" applyNumberFormat="1" applyFont="1" applyBorder="1" applyAlignment="1" applyProtection="1">
      <alignment horizontal="center"/>
      <protection locked="0"/>
    </xf>
    <xf numFmtId="1" fontId="2" fillId="0" borderId="14" xfId="4" applyNumberFormat="1" applyBorder="1" applyAlignment="1" applyProtection="1">
      <alignment horizontal="left"/>
      <protection locked="0"/>
    </xf>
    <xf numFmtId="1" fontId="2" fillId="6" borderId="15" xfId="4" applyNumberFormat="1" applyFill="1" applyBorder="1" applyProtection="1">
      <protection locked="0"/>
    </xf>
    <xf numFmtId="168" fontId="0" fillId="6" borderId="2" xfId="1" applyNumberFormat="1" applyFont="1" applyFill="1" applyBorder="1"/>
    <xf numFmtId="168" fontId="0" fillId="6" borderId="3" xfId="1" applyNumberFormat="1" applyFont="1" applyFill="1" applyBorder="1"/>
    <xf numFmtId="0" fontId="4" fillId="2" borderId="0" xfId="0" applyFont="1" applyFill="1" applyAlignment="1">
      <alignment horizontal="center" wrapText="1"/>
    </xf>
    <xf numFmtId="0" fontId="4" fillId="2" borderId="36" xfId="0" applyFont="1" applyFill="1" applyBorder="1" applyAlignment="1">
      <alignment horizontal="center" wrapText="1"/>
    </xf>
    <xf numFmtId="0" fontId="4" fillId="2" borderId="35" xfId="0" applyFont="1" applyFill="1" applyBorder="1" applyAlignment="1">
      <alignment horizontal="center" wrapText="1"/>
    </xf>
    <xf numFmtId="0" fontId="4" fillId="2" borderId="38" xfId="0" applyFont="1" applyFill="1" applyBorder="1" applyAlignment="1">
      <alignment horizontal="center" wrapText="1"/>
    </xf>
    <xf numFmtId="168" fontId="0" fillId="6" borderId="10" xfId="0" applyNumberFormat="1" applyFill="1" applyBorder="1"/>
    <xf numFmtId="0" fontId="0" fillId="0" borderId="10" xfId="0" applyBorder="1" applyAlignment="1">
      <alignment horizontal="center" wrapText="1"/>
    </xf>
    <xf numFmtId="0" fontId="0" fillId="0" borderId="3" xfId="0" applyBorder="1" applyAlignment="1">
      <alignment horizontal="center" wrapText="1"/>
    </xf>
    <xf numFmtId="164" fontId="0" fillId="0" borderId="10" xfId="2" applyNumberFormat="1" applyFont="1" applyBorder="1" applyAlignment="1">
      <alignment horizontal="center"/>
    </xf>
    <xf numFmtId="164" fontId="0" fillId="0" borderId="3" xfId="0" applyNumberFormat="1" applyBorder="1" applyAlignment="1">
      <alignment horizontal="center"/>
    </xf>
    <xf numFmtId="164" fontId="0" fillId="0" borderId="6" xfId="2" applyNumberFormat="1" applyFont="1" applyBorder="1" applyAlignment="1">
      <alignment horizontal="center"/>
    </xf>
    <xf numFmtId="164" fontId="0" fillId="0" borderId="1" xfId="0" applyNumberFormat="1" applyBorder="1" applyAlignment="1">
      <alignment horizontal="center"/>
    </xf>
    <xf numFmtId="164" fontId="0" fillId="0" borderId="7" xfId="0" applyNumberFormat="1" applyBorder="1" applyAlignment="1">
      <alignment horizontal="center"/>
    </xf>
    <xf numFmtId="164" fontId="0" fillId="0" borderId="10" xfId="0" applyNumberFormat="1" applyBorder="1" applyAlignment="1">
      <alignment horizontal="center"/>
    </xf>
    <xf numFmtId="164" fontId="0" fillId="0" borderId="6" xfId="0" applyNumberFormat="1" applyBorder="1" applyAlignment="1">
      <alignment horizontal="center"/>
    </xf>
    <xf numFmtId="0" fontId="4" fillId="10" borderId="30" xfId="0" applyFont="1" applyFill="1" applyBorder="1" applyAlignment="1">
      <alignment horizontal="center" wrapText="1"/>
    </xf>
    <xf numFmtId="0" fontId="3" fillId="8" borderId="27" xfId="0" applyFont="1" applyFill="1" applyBorder="1" applyAlignment="1">
      <alignment horizontal="center" vertical="center"/>
    </xf>
    <xf numFmtId="0" fontId="4" fillId="11" borderId="34" xfId="0" applyFont="1" applyFill="1" applyBorder="1" applyAlignment="1">
      <alignment horizontal="center" wrapText="1"/>
    </xf>
    <xf numFmtId="0" fontId="4" fillId="11" borderId="0" xfId="0" applyFont="1" applyFill="1" applyAlignment="1">
      <alignment horizontal="center" wrapText="1"/>
    </xf>
    <xf numFmtId="0" fontId="4" fillId="11" borderId="35" xfId="0" applyFont="1" applyFill="1" applyBorder="1" applyAlignment="1">
      <alignment horizontal="center" wrapText="1"/>
    </xf>
    <xf numFmtId="0" fontId="24" fillId="0" borderId="31" xfId="1" applyNumberFormat="1" applyFont="1" applyBorder="1" applyAlignment="1" applyProtection="1">
      <alignment horizontal="center" vertical="center"/>
      <protection locked="0" hidden="1"/>
    </xf>
    <xf numFmtId="1" fontId="22" fillId="5" borderId="26" xfId="0" applyNumberFormat="1" applyFont="1" applyFill="1" applyBorder="1" applyAlignment="1" applyProtection="1">
      <alignment horizontal="center" vertical="center"/>
      <protection locked="0" hidden="1"/>
    </xf>
    <xf numFmtId="166" fontId="23" fillId="9" borderId="32" xfId="1" applyNumberFormat="1" applyFont="1" applyFill="1" applyBorder="1" applyAlignment="1" applyProtection="1">
      <alignment horizontal="center" vertical="center"/>
      <protection hidden="1"/>
    </xf>
    <xf numFmtId="1" fontId="6" fillId="5" borderId="25" xfId="0" applyNumberFormat="1" applyFont="1" applyFill="1" applyBorder="1" applyAlignment="1" applyProtection="1">
      <alignment horizontal="center" vertical="center"/>
      <protection locked="0" hidden="1"/>
    </xf>
    <xf numFmtId="166" fontId="14" fillId="5" borderId="26" xfId="2" applyNumberFormat="1" applyFont="1" applyFill="1" applyBorder="1" applyAlignment="1" applyProtection="1">
      <alignment horizontal="center" vertical="center"/>
      <protection locked="0" hidden="1"/>
    </xf>
    <xf numFmtId="166" fontId="4" fillId="6" borderId="37" xfId="2" applyNumberFormat="1" applyFont="1" applyFill="1" applyBorder="1" applyAlignment="1" applyProtection="1">
      <alignment horizontal="center" vertical="center"/>
      <protection hidden="1"/>
    </xf>
    <xf numFmtId="166" fontId="4" fillId="6" borderId="33" xfId="2" applyNumberFormat="1" applyFont="1" applyFill="1" applyBorder="1" applyAlignment="1" applyProtection="1">
      <alignment horizontal="center" vertical="center"/>
      <protection hidden="1"/>
    </xf>
    <xf numFmtId="0" fontId="4" fillId="6" borderId="26" xfId="1" applyNumberFormat="1" applyFont="1" applyFill="1" applyBorder="1" applyAlignment="1" applyProtection="1">
      <alignment horizontal="center" vertical="center"/>
      <protection hidden="1"/>
    </xf>
    <xf numFmtId="166" fontId="4" fillId="6" borderId="32" xfId="2" applyNumberFormat="1" applyFont="1" applyFill="1" applyBorder="1" applyAlignment="1" applyProtection="1">
      <alignment horizontal="center" vertical="center"/>
      <protection hidden="1"/>
    </xf>
    <xf numFmtId="166" fontId="23" fillId="9" borderId="33" xfId="2" applyNumberFormat="1" applyFont="1" applyFill="1" applyBorder="1" applyAlignment="1" applyProtection="1">
      <alignment horizontal="center" vertical="center" wrapText="1"/>
      <protection hidden="1"/>
    </xf>
    <xf numFmtId="0" fontId="7" fillId="0" borderId="0" xfId="0" applyFont="1" applyAlignment="1">
      <alignment horizontal="center" wrapText="1"/>
    </xf>
    <xf numFmtId="166" fontId="0" fillId="6" borderId="7" xfId="1" applyNumberFormat="1" applyFont="1" applyFill="1" applyBorder="1"/>
    <xf numFmtId="0" fontId="5" fillId="5" borderId="10" xfId="0" applyFont="1" applyFill="1" applyBorder="1" applyAlignment="1">
      <alignment vertical="center" wrapText="1"/>
    </xf>
    <xf numFmtId="0" fontId="5" fillId="5" borderId="0" xfId="0" applyFont="1" applyFill="1" applyAlignment="1">
      <alignment vertical="center" wrapText="1"/>
    </xf>
    <xf numFmtId="0" fontId="5" fillId="5" borderId="3" xfId="0" applyFont="1" applyFill="1" applyBorder="1" applyAlignment="1">
      <alignment vertical="center" wrapText="1"/>
    </xf>
    <xf numFmtId="0" fontId="5" fillId="5" borderId="6" xfId="0" applyFont="1" applyFill="1" applyBorder="1" applyAlignment="1">
      <alignment vertical="top" wrapText="1"/>
    </xf>
    <xf numFmtId="0" fontId="5" fillId="5" borderId="1" xfId="0" applyFont="1" applyFill="1" applyBorder="1" applyAlignment="1">
      <alignment vertical="top" wrapText="1"/>
    </xf>
    <xf numFmtId="0" fontId="5" fillId="5" borderId="7" xfId="0" applyFont="1" applyFill="1" applyBorder="1" applyAlignment="1">
      <alignment vertical="top" wrapText="1"/>
    </xf>
    <xf numFmtId="0" fontId="12" fillId="7" borderId="22" xfId="0" applyFont="1" applyFill="1" applyBorder="1" applyAlignment="1">
      <alignment horizontal="center" vertical="center"/>
    </xf>
    <xf numFmtId="0" fontId="12" fillId="7" borderId="23" xfId="0" applyFont="1" applyFill="1" applyBorder="1" applyAlignment="1">
      <alignment horizontal="center" vertical="center"/>
    </xf>
    <xf numFmtId="0" fontId="12" fillId="7" borderId="11" xfId="0" applyFont="1" applyFill="1" applyBorder="1" applyAlignment="1">
      <alignment horizontal="center" vertical="center"/>
    </xf>
    <xf numFmtId="0" fontId="12" fillId="7" borderId="12" xfId="0" applyFont="1" applyFill="1" applyBorder="1" applyAlignment="1">
      <alignment horizontal="center" vertical="center"/>
    </xf>
    <xf numFmtId="0" fontId="13" fillId="5" borderId="4" xfId="0" applyFont="1" applyFill="1" applyBorder="1" applyAlignment="1">
      <alignment horizontal="center"/>
    </xf>
    <xf numFmtId="0" fontId="13" fillId="5" borderId="5" xfId="0" applyFont="1" applyFill="1" applyBorder="1" applyAlignment="1">
      <alignment horizontal="center"/>
    </xf>
    <xf numFmtId="0" fontId="13" fillId="5" borderId="2" xfId="0" applyFont="1" applyFill="1" applyBorder="1" applyAlignment="1">
      <alignment horizontal="center"/>
    </xf>
    <xf numFmtId="0" fontId="5" fillId="5" borderId="10" xfId="0" applyFont="1" applyFill="1" applyBorder="1" applyAlignment="1">
      <alignment wrapText="1"/>
    </xf>
    <xf numFmtId="0" fontId="5" fillId="5" borderId="0" xfId="0" applyFont="1" applyFill="1" applyAlignment="1">
      <alignment wrapText="1"/>
    </xf>
    <xf numFmtId="0" fontId="5" fillId="5" borderId="3" xfId="0" applyFont="1" applyFill="1" applyBorder="1" applyAlignment="1">
      <alignment wrapText="1"/>
    </xf>
    <xf numFmtId="0" fontId="3" fillId="3" borderId="28" xfId="0" applyFont="1" applyFill="1" applyBorder="1" applyAlignment="1">
      <alignment horizontal="center" vertical="center"/>
    </xf>
    <xf numFmtId="0" fontId="3" fillId="3" borderId="29" xfId="0" applyFont="1" applyFill="1" applyBorder="1" applyAlignment="1">
      <alignment horizontal="center" vertical="center"/>
    </xf>
    <xf numFmtId="0" fontId="3" fillId="4" borderId="28" xfId="0" applyFont="1" applyFill="1" applyBorder="1" applyAlignment="1">
      <alignment horizontal="center" vertical="center"/>
    </xf>
    <xf numFmtId="0" fontId="3" fillId="4" borderId="29" xfId="0" applyFont="1" applyFill="1" applyBorder="1" applyAlignment="1">
      <alignment horizontal="center" vertical="center"/>
    </xf>
    <xf numFmtId="0" fontId="7" fillId="6" borderId="8" xfId="0" applyFont="1" applyFill="1" applyBorder="1" applyAlignment="1">
      <alignment horizontal="center"/>
    </xf>
    <xf numFmtId="0" fontId="7" fillId="6" borderId="9" xfId="0" applyFont="1" applyFill="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15" fillId="0" borderId="0" xfId="0" applyFont="1" applyAlignment="1">
      <alignment horizontal="left" wrapText="1"/>
    </xf>
    <xf numFmtId="0" fontId="15" fillId="0" borderId="3" xfId="0" applyFont="1" applyBorder="1" applyAlignment="1">
      <alignment horizontal="left" wrapText="1"/>
    </xf>
    <xf numFmtId="0" fontId="15" fillId="0" borderId="0" xfId="0" applyFont="1" applyAlignment="1">
      <alignment horizontal="left" vertical="center" wrapText="1"/>
    </xf>
    <xf numFmtId="0" fontId="15" fillId="0" borderId="3" xfId="0" applyFont="1" applyBorder="1" applyAlignment="1">
      <alignment horizontal="left" vertical="center" wrapText="1"/>
    </xf>
    <xf numFmtId="1" fontId="7" fillId="6" borderId="8" xfId="0" applyNumberFormat="1" applyFont="1" applyFill="1" applyBorder="1" applyAlignment="1">
      <alignment horizontal="center"/>
    </xf>
    <xf numFmtId="1" fontId="7" fillId="6" borderId="9" xfId="0" applyNumberFormat="1" applyFont="1" applyFill="1" applyBorder="1" applyAlignment="1">
      <alignment horizontal="center"/>
    </xf>
    <xf numFmtId="0" fontId="7" fillId="6" borderId="4" xfId="0" applyFont="1" applyFill="1" applyBorder="1" applyAlignment="1">
      <alignment horizontal="center"/>
    </xf>
    <xf numFmtId="0" fontId="7" fillId="6" borderId="2" xfId="0" applyFont="1" applyFill="1" applyBorder="1" applyAlignment="1">
      <alignment horizontal="center"/>
    </xf>
    <xf numFmtId="0" fontId="18" fillId="0" borderId="8" xfId="0" applyFont="1" applyBorder="1" applyAlignment="1">
      <alignment horizontal="center"/>
    </xf>
    <xf numFmtId="0" fontId="18" fillId="0" borderId="39" xfId="0" applyFont="1" applyBorder="1" applyAlignment="1">
      <alignment horizontal="center"/>
    </xf>
    <xf numFmtId="0" fontId="19" fillId="0" borderId="4" xfId="0" applyFont="1" applyBorder="1" applyAlignment="1">
      <alignment horizontal="center"/>
    </xf>
    <xf numFmtId="0" fontId="19" fillId="0" borderId="2" xfId="0" applyFont="1" applyBorder="1" applyAlignment="1">
      <alignment horizontal="center"/>
    </xf>
    <xf numFmtId="0" fontId="20" fillId="0" borderId="8" xfId="0" applyFont="1" applyBorder="1" applyAlignment="1">
      <alignment horizontal="center"/>
    </xf>
    <xf numFmtId="0" fontId="20" fillId="0" borderId="39" xfId="0" applyFont="1" applyBorder="1" applyAlignment="1">
      <alignment horizontal="center"/>
    </xf>
    <xf numFmtId="0" fontId="21" fillId="0" borderId="4" xfId="0" applyFont="1" applyBorder="1" applyAlignment="1">
      <alignment horizontal="center"/>
    </xf>
    <xf numFmtId="0" fontId="21" fillId="0" borderId="5" xfId="0" applyFont="1" applyBorder="1" applyAlignment="1">
      <alignment horizontal="center"/>
    </xf>
    <xf numFmtId="0" fontId="21" fillId="0" borderId="2" xfId="0" applyFont="1" applyBorder="1" applyAlignment="1">
      <alignment horizontal="center"/>
    </xf>
    <xf numFmtId="0" fontId="7" fillId="0" borderId="0" xfId="0" applyFont="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32">
    <dxf>
      <font>
        <u/>
        <color theme="7"/>
      </font>
    </dxf>
    <dxf>
      <font>
        <strike val="0"/>
        <u/>
        <color rgb="FFFF0000"/>
      </font>
    </dxf>
    <dxf>
      <font>
        <color rgb="FF9C0006"/>
      </font>
      <fill>
        <patternFill>
          <bgColor rgb="FFFFC7CE"/>
        </patternFill>
      </fill>
    </dxf>
    <dxf>
      <numFmt numFmtId="0" formatCode="General"/>
    </dxf>
    <dxf>
      <numFmt numFmtId="0" formatCode="General"/>
    </dxf>
    <dxf>
      <numFmt numFmtId="0" formatCode="General"/>
    </dxf>
    <dxf>
      <numFmt numFmtId="0" formatCode="General"/>
    </dxf>
    <dxf>
      <numFmt numFmtId="0" formatCode="General"/>
    </dxf>
    <dxf>
      <alignment horizontal="center" vertical="bottom" textRotation="0" indent="0" justifyLastLine="0" shrinkToFit="0" readingOrder="0"/>
    </dxf>
    <dxf>
      <numFmt numFmtId="0" formatCode="General"/>
      <alignment horizontal="center" vertical="bottom" textRotation="0" indent="0" justifyLastLine="0" shrinkToFit="0" readingOrder="0"/>
    </dxf>
    <dxf>
      <alignment horizontal="center" vertical="bottom" textRotation="0" indent="0" justifyLastLine="0" shrinkToFit="0" readingOrder="0"/>
    </dxf>
    <dxf>
      <font>
        <b/>
        <i val="0"/>
        <strike val="0"/>
        <condense val="0"/>
        <extend val="0"/>
        <outline val="0"/>
        <shadow val="0"/>
        <u val="none"/>
        <vertAlign val="baseline"/>
        <sz val="11"/>
        <color theme="1"/>
        <name val="Calibri"/>
        <family val="2"/>
        <scheme val="minor"/>
      </font>
      <alignment horizontal="center" vertical="bottom" textRotation="0" wrapText="1" indent="0" justifyLastLine="0" shrinkToFit="0" readingOrder="0"/>
    </dxf>
    <dxf>
      <alignment horizontal="center" vertical="bottom" textRotation="0" indent="0" justifyLastLine="0" shrinkToFit="0" readingOrder="0"/>
    </dxf>
    <dxf>
      <numFmt numFmtId="0" formatCode="General"/>
      <alignment horizontal="center" vertical="bottom" textRotation="0" indent="0" justifyLastLine="0" shrinkToFit="0" readingOrder="0"/>
    </dxf>
    <dxf>
      <alignment horizontal="center" vertical="bottom" textRotation="0" indent="0" justifyLastLine="0" shrinkToFit="0" readingOrder="0"/>
    </dxf>
    <dxf>
      <font>
        <b/>
        <i val="0"/>
        <strike val="0"/>
        <condense val="0"/>
        <extend val="0"/>
        <outline val="0"/>
        <shadow val="0"/>
        <u val="none"/>
        <vertAlign val="baseline"/>
        <sz val="11"/>
        <color theme="1"/>
        <name val="Calibri"/>
        <family val="2"/>
        <scheme val="minor"/>
      </font>
      <alignment horizontal="center" vertical="bottom" textRotation="0" wrapText="1" indent="0" justifyLastLine="0" shrinkToFit="0" readingOrder="0"/>
    </dxf>
    <dxf>
      <numFmt numFmtId="164" formatCode="_(&quot;$&quot;* #,##0_);_(&quot;$&quot;* \(#,##0\);_(&quot;$&quot;* &quot;-&quot;??_);_(@_)"/>
      <alignment horizontal="center" vertical="bottom" textRotation="0" wrapText="0" indent="0" justifyLastLine="0" shrinkToFit="0" readingOrder="0"/>
      <border diagonalUp="0" diagonalDown="0">
        <left/>
        <right style="thin">
          <color indexed="64"/>
        </right>
        <top/>
        <bottom/>
        <vertical/>
        <horizontal/>
      </border>
    </dxf>
    <dxf>
      <numFmt numFmtId="164" formatCode="_(&quot;$&quot;* #,##0_);_(&quot;$&quot;* \(#,##0\);_(&quot;$&quot;* &quot;-&quot;??_);_(@_)"/>
      <alignment horizontal="center" vertical="bottom" textRotation="0" wrapText="0" indent="0" justifyLastLine="0" shrinkToFit="0" readingOrder="0"/>
    </dxf>
    <dxf>
      <numFmt numFmtId="164" formatCode="_(&quot;$&quot;* #,##0_);_(&quot;$&quot;* \(#,##0\);_(&quot;$&quot;* &quot;-&quot;??_);_(@_)"/>
      <alignment horizontal="center" vertical="bottom" textRotation="0" wrapText="0" indent="0" justifyLastLine="0" shrinkToFit="0" readingOrder="0"/>
      <border diagonalUp="0" diagonalDown="0">
        <left style="thin">
          <color indexed="64"/>
        </left>
        <right/>
        <top/>
        <bottom/>
        <vertical/>
        <horizontal/>
      </border>
    </dxf>
    <dxf>
      <numFmt numFmtId="164" formatCode="_(&quot;$&quot;* #,##0_);_(&quot;$&quot;* \(#,##0\);_(&quot;$&quot;* &quot;-&quot;??_);_(@_)"/>
      <alignment horizontal="center" vertical="bottom" textRotation="0" wrapText="0" indent="0" justifyLastLine="0" shrinkToFit="0" readingOrder="0"/>
    </dxf>
    <dxf>
      <numFmt numFmtId="164" formatCode="_(&quot;$&quot;* #,##0_);_(&quot;$&quot;* \(#,##0\);_(&quot;$&quot;* &quot;-&quot;??_);_(@_)"/>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_(&quot;$&quot;* #,##0_);_(&quot;$&quot;* \(#,##0\);_(&quot;$&quot;* &quot;-&quot;??_);_(@_)"/>
      <alignment horizontal="center" vertical="bottom" textRotation="0" wrapText="0" indent="0" justifyLastLine="0" shrinkToFit="0" readingOrder="0"/>
      <border diagonalUp="0" diagonalDown="0">
        <left style="thin">
          <color indexed="64"/>
        </left>
        <right/>
        <vertical/>
      </border>
    </dxf>
    <dxf>
      <numFmt numFmtId="164" formatCode="_(&quot;$&quot;* #,##0_);_(&quot;$&quot;* \(#,##0\);_(&quot;$&quot;* &quot;-&quot;??_);_(@_)"/>
      <alignment horizontal="center" vertical="bottom" textRotation="0" wrapText="0" indent="0" justifyLastLine="0" shrinkToFit="0" readingOrder="0"/>
    </dxf>
    <dxf>
      <numFmt numFmtId="164" formatCode="_(&quot;$&quot;* #,##0_);_(&quot;$&quot;* \(#,##0\);_(&quot;$&quot;* &quot;-&quot;??_);_(@_)"/>
      <alignment horizontal="center" vertical="bottom" textRotation="0" wrapText="0" indent="0" justifyLastLine="0" shrinkToFit="0" readingOrder="0"/>
      <border diagonalUp="0" diagonalDown="0">
        <left style="thin">
          <color indexed="64"/>
        </left>
        <right/>
        <top/>
        <bottom/>
        <vertical/>
        <horizontal/>
      </border>
    </dxf>
    <dxf>
      <numFmt numFmtId="164" formatCode="_(&quot;$&quot;* #,##0_);_(&quot;$&quot;* \(#,##0\);_(&quot;$&quot;* &quot;-&quot;??_);_(@_)"/>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5" formatCode="_(&quot;$&quot;* #,##0.000_);_(&quot;$&quot;* \(#,##0.000\);_(&quot;$&quot;* &quot;-&quot;??_);_(@_)"/>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5" formatCode="_(&quot;$&quot;* #,##0.000_);_(&quot;$&quot;* \(#,##0.000\);_(&quot;$&quot;* &quot;-&quot;??_);_(@_)"/>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5" formatCode="_(&quot;$&quot;* #,##0.000_);_(&quot;$&quot;* \(#,##0.000\);_(&quot;$&quot;* &quot;-&quot;??_);_(@_)"/>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_(&quot;$&quot;* #,##0_);_(&quot;$&quot;* \(#,##0\);_(&quot;$&quot;* &quot;-&quot;??_);_(@_)"/>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1" indent="0" justifyLastLine="0" shrinkToFit="0" readingOrder="0"/>
    </dxf>
  </dxfs>
  <tableStyles count="0" defaultTableStyle="TableStyleMedium2" defaultPivotStyle="PivotStyleLight16"/>
  <colors>
    <mruColors>
      <color rgb="FFD5B8EA"/>
      <color rgb="FFC39BE1"/>
      <color rgb="FFB17E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cap="none" baseline="0">
                <a:solidFill>
                  <a:schemeClr val="lt1">
                    <a:lumMod val="85000"/>
                  </a:schemeClr>
                </a:solidFill>
                <a:latin typeface="+mn-lt"/>
                <a:ea typeface="+mn-ea"/>
                <a:cs typeface="+mn-cs"/>
              </a:defRPr>
            </a:pPr>
            <a:r>
              <a:rPr lang="en-US" sz="2400"/>
              <a:t>Solar Return on Investment</a:t>
            </a:r>
          </a:p>
        </c:rich>
      </c:tx>
      <c:overlay val="0"/>
      <c:spPr>
        <a:noFill/>
        <a:ln>
          <a:noFill/>
        </a:ln>
        <a:effectLst/>
      </c:spPr>
      <c:txPr>
        <a:bodyPr rot="0" spcFirstLastPara="1" vertOverflow="ellipsis" vert="horz" wrap="square" anchor="ctr" anchorCtr="1"/>
        <a:lstStyle/>
        <a:p>
          <a:pPr>
            <a:defRPr sz="2400" b="1" i="0" u="none" strike="noStrike" kern="1200" cap="none" baseline="0">
              <a:solidFill>
                <a:schemeClr val="lt1">
                  <a:lumMod val="85000"/>
                </a:schemeClr>
              </a:solidFill>
              <a:latin typeface="+mn-lt"/>
              <a:ea typeface="+mn-ea"/>
              <a:cs typeface="+mn-cs"/>
            </a:defRPr>
          </a:pPr>
          <a:endParaRPr lang="en-US"/>
        </a:p>
      </c:txPr>
    </c:title>
    <c:autoTitleDeleted val="0"/>
    <c:plotArea>
      <c:layout/>
      <c:lineChart>
        <c:grouping val="standard"/>
        <c:varyColors val="0"/>
        <c:ser>
          <c:idx val="0"/>
          <c:order val="0"/>
          <c:tx>
            <c:strRef>
              <c:f>'Calculator Table'!$M$2</c:f>
              <c:strCache>
                <c:ptCount val="1"/>
                <c:pt idx="0">
                  <c:v>Shared Solar ROI</c:v>
                </c:pt>
              </c:strCache>
            </c:strRef>
          </c:tx>
          <c:spPr>
            <a:ln w="44450" cap="rnd">
              <a:solidFill>
                <a:schemeClr val="accent1"/>
              </a:solidFill>
            </a:ln>
            <a:effectLst>
              <a:glow rad="139700">
                <a:schemeClr val="accent1">
                  <a:satMod val="175000"/>
                  <a:alpha val="14000"/>
                </a:schemeClr>
              </a:glow>
            </a:effectLst>
          </c:spPr>
          <c:marker>
            <c:symbol val="none"/>
          </c:marker>
          <c:val>
            <c:numRef>
              <c:f>'Calculator Table'!$M$3:$M$27</c:f>
              <c:numCache>
                <c:formatCode>_("$"* #,##0_);_("$"* \(#,##0\);_("$"* "-"??_);_(@_)</c:formatCode>
                <c:ptCount val="25"/>
                <c:pt idx="0">
                  <c:v>145.56350918699991</c:v>
                </c:pt>
                <c:pt idx="1">
                  <c:v>305.94423541180458</c:v>
                </c:pt>
                <c:pt idx="2">
                  <c:v>481.36443692998046</c:v>
                </c:pt>
                <c:pt idx="3">
                  <c:v>672.04970587092885</c:v>
                </c:pt>
                <c:pt idx="4">
                  <c:v>878.22901824599194</c:v>
                </c:pt>
                <c:pt idx="5">
                  <c:v>1100.1347847066804</c:v>
                </c:pt>
                <c:pt idx="6">
                  <c:v>1338.0029020642796</c:v>
                </c:pt>
                <c:pt idx="7">
                  <c:v>1592.0728055822428</c:v>
                </c:pt>
                <c:pt idx="8">
                  <c:v>1862.5875220529761</c:v>
                </c:pt>
                <c:pt idx="9">
                  <c:v>2149.7937236707694</c:v>
                </c:pt>
                <c:pt idx="10">
                  <c:v>2453.9417827128295</c:v>
                </c:pt>
                <c:pt idx="11">
                  <c:v>2775.2858270405209</c:v>
                </c:pt>
                <c:pt idx="12">
                  <c:v>3114.0837964331267</c:v>
                </c:pt>
                <c:pt idx="13">
                  <c:v>3470.5974997666221</c:v>
                </c:pt>
                <c:pt idx="14">
                  <c:v>3845.0926730501205</c:v>
                </c:pt>
                <c:pt idx="15">
                  <c:v>4237.8390383328706</c:v>
                </c:pt>
                <c:pt idx="16">
                  <c:v>4649.1103634948613</c:v>
                </c:pt>
                <c:pt idx="17">
                  <c:v>5079.1845229342816</c:v>
                </c:pt>
                <c:pt idx="18">
                  <c:v>5528.3435591652933</c:v>
                </c:pt>
                <c:pt idx="19">
                  <c:v>5996.8737453397707</c:v>
                </c:pt>
                <c:pt idx="20">
                  <c:v>6485.0656487068645</c:v>
                </c:pt>
                <c:pt idx="21">
                  <c:v>6993.214195024465</c:v>
                </c:pt>
                <c:pt idx="22">
                  <c:v>7521.6187339368289</c:v>
                </c:pt>
                <c:pt idx="23">
                  <c:v>8070.5831053328784</c:v>
                </c:pt>
                <c:pt idx="24">
                  <c:v>8640.4157066998687</c:v>
                </c:pt>
              </c:numCache>
            </c:numRef>
          </c:val>
          <c:smooth val="1"/>
          <c:extLst>
            <c:ext xmlns:c16="http://schemas.microsoft.com/office/drawing/2014/chart" uri="{C3380CC4-5D6E-409C-BE32-E72D297353CC}">
              <c16:uniqueId val="{00000001-43A2-467A-AC01-0B8B468DEDD8}"/>
            </c:ext>
          </c:extLst>
        </c:ser>
        <c:ser>
          <c:idx val="1"/>
          <c:order val="1"/>
          <c:tx>
            <c:strRef>
              <c:f>'Calculator Table'!$N$2</c:f>
              <c:strCache>
                <c:ptCount val="1"/>
                <c:pt idx="0">
                  <c:v>Cash ROI</c:v>
                </c:pt>
              </c:strCache>
            </c:strRef>
          </c:tx>
          <c:spPr>
            <a:ln w="44450" cap="rnd">
              <a:solidFill>
                <a:schemeClr val="accent4"/>
              </a:solidFill>
            </a:ln>
            <a:effectLst>
              <a:glow rad="139700">
                <a:schemeClr val="accent2">
                  <a:satMod val="175000"/>
                  <a:alpha val="14000"/>
                </a:schemeClr>
              </a:glow>
            </a:effectLst>
          </c:spPr>
          <c:marker>
            <c:symbol val="none"/>
          </c:marker>
          <c:val>
            <c:numRef>
              <c:f>'Calculator Table'!$N$3:$N$27</c:f>
              <c:numCache>
                <c:formatCode>_("$"* #,##0_);_("$"* \(#,##0\);_("$"* "-"??_);_(@_)</c:formatCode>
                <c:ptCount val="25"/>
                <c:pt idx="0">
                  <c:v>-9317.7731667861681</c:v>
                </c:pt>
                <c:pt idx="1">
                  <c:v>-8426.8457266289079</c:v>
                </c:pt>
                <c:pt idx="2">
                  <c:v>-7529.5877819255238</c:v>
                </c:pt>
                <c:pt idx="3">
                  <c:v>-6625.8674866092751</c:v>
                </c:pt>
                <c:pt idx="4">
                  <c:v>-5715.5510169224217</c:v>
                </c:pt>
                <c:pt idx="5">
                  <c:v>-4798.5025417508605</c:v>
                </c:pt>
                <c:pt idx="6">
                  <c:v>-3874.5841925137715</c:v>
                </c:pt>
                <c:pt idx="7">
                  <c:v>-2943.6560326016265</c:v>
                </c:pt>
                <c:pt idx="8">
                  <c:v>-2005.5760263557524</c:v>
                </c:pt>
                <c:pt idx="9">
                  <c:v>-1060.200007582597</c:v>
                </c:pt>
                <c:pt idx="10">
                  <c:v>-107.38164759570418</c:v>
                </c:pt>
                <c:pt idx="11">
                  <c:v>853.02757722167962</c:v>
                </c:pt>
                <c:pt idx="12">
                  <c:v>1821.1784183405566</c:v>
                </c:pt>
                <c:pt idx="13">
                  <c:v>2797.2238885039974</c:v>
                </c:pt>
                <c:pt idx="14">
                  <c:v>3781.3192956462167</c:v>
                </c:pt>
                <c:pt idx="15">
                  <c:v>4773.6222773204427</c:v>
                </c:pt>
                <c:pt idx="16">
                  <c:v>5774.2928356432021</c:v>
                </c:pt>
                <c:pt idx="17">
                  <c:v>6783.4933727627686</c:v>
                </c:pt>
                <c:pt idx="18">
                  <c:v>7801.3887268596427</c:v>
                </c:pt>
                <c:pt idx="19">
                  <c:v>8828.1462086870306</c:v>
                </c:pt>
                <c:pt idx="20">
                  <c:v>9863.9356386594354</c:v>
                </c:pt>
                <c:pt idx="21">
                  <c:v>10908.92938449758</c:v>
                </c:pt>
                <c:pt idx="22">
                  <c:v>11963.302399437996</c:v>
                </c:pt>
                <c:pt idx="23">
                  <c:v>13027.232261015766</c:v>
                </c:pt>
                <c:pt idx="24">
                  <c:v>14100.899210428997</c:v>
                </c:pt>
              </c:numCache>
            </c:numRef>
          </c:val>
          <c:smooth val="1"/>
          <c:extLst>
            <c:ext xmlns:c16="http://schemas.microsoft.com/office/drawing/2014/chart" uri="{C3380CC4-5D6E-409C-BE32-E72D297353CC}">
              <c16:uniqueId val="{00000002-43A2-467A-AC01-0B8B468DEDD8}"/>
            </c:ext>
          </c:extLst>
        </c:ser>
        <c:ser>
          <c:idx val="2"/>
          <c:order val="2"/>
          <c:tx>
            <c:strRef>
              <c:f>'Calculator Table'!$O$2</c:f>
              <c:strCache>
                <c:ptCount val="1"/>
                <c:pt idx="0">
                  <c:v>Financing ROI</c:v>
                </c:pt>
              </c:strCache>
            </c:strRef>
          </c:tx>
          <c:spPr>
            <a:ln w="44450" cap="rnd">
              <a:solidFill>
                <a:srgbClr val="FF0000"/>
              </a:solidFill>
            </a:ln>
            <a:effectLst>
              <a:glow rad="139700">
                <a:schemeClr val="accent3">
                  <a:satMod val="175000"/>
                  <a:alpha val="14000"/>
                </a:schemeClr>
              </a:glow>
            </a:effectLst>
          </c:spPr>
          <c:marker>
            <c:symbol val="none"/>
          </c:marker>
          <c:val>
            <c:numRef>
              <c:f>'Calculator Table'!$O$3:$O$27</c:f>
              <c:numCache>
                <c:formatCode>_("$"* #,##0_);_("$"* \(#,##0\);_("$"* "-"??_);_(@_)</c:formatCode>
                <c:ptCount val="25"/>
                <c:pt idx="0">
                  <c:v>354.9520304344569</c:v>
                </c:pt>
                <c:pt idx="1">
                  <c:v>-1668.8953321876591</c:v>
                </c:pt>
                <c:pt idx="2">
                  <c:v>-3686.4121902636498</c:v>
                </c:pt>
                <c:pt idx="3">
                  <c:v>-5697.4666977267771</c:v>
                </c:pt>
                <c:pt idx="4">
                  <c:v>-7701.9250308192995</c:v>
                </c:pt>
                <c:pt idx="5">
                  <c:v>-9699.6513584271124</c:v>
                </c:pt>
                <c:pt idx="6">
                  <c:v>-11690.507811969399</c:v>
                </c:pt>
                <c:pt idx="7">
                  <c:v>-10759.579652057255</c:v>
                </c:pt>
                <c:pt idx="8">
                  <c:v>-9821.4996458113801</c:v>
                </c:pt>
                <c:pt idx="9">
                  <c:v>-8876.1236270382251</c:v>
                </c:pt>
                <c:pt idx="10">
                  <c:v>-7923.3052670513325</c:v>
                </c:pt>
                <c:pt idx="11">
                  <c:v>-6962.8960422339487</c:v>
                </c:pt>
                <c:pt idx="12">
                  <c:v>-5994.7452011150717</c:v>
                </c:pt>
                <c:pt idx="13">
                  <c:v>-5018.699730951631</c:v>
                </c:pt>
                <c:pt idx="14">
                  <c:v>-4034.6043238094117</c:v>
                </c:pt>
                <c:pt idx="15">
                  <c:v>-3042.3013421351861</c:v>
                </c:pt>
                <c:pt idx="16">
                  <c:v>-2041.6307838124271</c:v>
                </c:pt>
                <c:pt idx="17">
                  <c:v>-1032.4302466928602</c:v>
                </c:pt>
                <c:pt idx="18">
                  <c:v>-14.534892595986094</c:v>
                </c:pt>
                <c:pt idx="19">
                  <c:v>1012.2225892314018</c:v>
                </c:pt>
                <c:pt idx="20">
                  <c:v>2048.0120192038071</c:v>
                </c:pt>
                <c:pt idx="21">
                  <c:v>3093.0057650419508</c:v>
                </c:pt>
                <c:pt idx="22">
                  <c:v>4147.3787799823676</c:v>
                </c:pt>
                <c:pt idx="23">
                  <c:v>5211.3086415601374</c:v>
                </c:pt>
                <c:pt idx="24">
                  <c:v>6284.9755909733685</c:v>
                </c:pt>
              </c:numCache>
            </c:numRef>
          </c:val>
          <c:smooth val="1"/>
          <c:extLst>
            <c:ext xmlns:c16="http://schemas.microsoft.com/office/drawing/2014/chart" uri="{C3380CC4-5D6E-409C-BE32-E72D297353CC}">
              <c16:uniqueId val="{00000001-C26A-4157-8A05-1B5A932F5B13}"/>
            </c:ext>
          </c:extLst>
        </c:ser>
        <c:dLbls>
          <c:showLegendKey val="0"/>
          <c:showVal val="0"/>
          <c:showCatName val="0"/>
          <c:showSerName val="0"/>
          <c:showPercent val="0"/>
          <c:showBubbleSize val="0"/>
        </c:dLbls>
        <c:smooth val="0"/>
        <c:axId val="527762144"/>
        <c:axId val="527762472"/>
      </c:lineChart>
      <c:catAx>
        <c:axId val="527762144"/>
        <c:scaling>
          <c:orientation val="minMax"/>
        </c:scaling>
        <c:delete val="0"/>
        <c:axPos val="b"/>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title>
          <c:tx>
            <c:rich>
              <a:bodyPr rot="0" spcFirstLastPara="1" vertOverflow="ellipsis" vert="horz" wrap="square" anchor="ctr" anchorCtr="1"/>
              <a:lstStyle/>
              <a:p>
                <a:pPr>
                  <a:defRPr sz="1800" b="1" i="0" u="none" strike="noStrike" kern="1200" baseline="0">
                    <a:solidFill>
                      <a:schemeClr val="lt1">
                        <a:lumMod val="75000"/>
                      </a:schemeClr>
                    </a:solidFill>
                    <a:latin typeface="+mn-lt"/>
                    <a:ea typeface="+mn-ea"/>
                    <a:cs typeface="+mn-cs"/>
                  </a:defRPr>
                </a:pPr>
                <a:r>
                  <a:rPr lang="en-US" sz="1800"/>
                  <a:t>Years After Installation</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lt1">
                      <a:lumMod val="75000"/>
                    </a:schemeClr>
                  </a:solidFill>
                  <a:latin typeface="+mn-lt"/>
                  <a:ea typeface="+mn-ea"/>
                  <a:cs typeface="+mn-cs"/>
                </a:defRPr>
              </a:pPr>
              <a:endParaRPr lang="en-US"/>
            </a:p>
          </c:txPr>
        </c:title>
        <c:majorTickMark val="none"/>
        <c:minorTickMark val="none"/>
        <c:tickLblPos val="low"/>
        <c:spPr>
          <a:noFill/>
          <a:ln w="19050">
            <a:solidFill>
              <a:schemeClr val="accent6"/>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527762472"/>
        <c:crosses val="autoZero"/>
        <c:auto val="1"/>
        <c:lblAlgn val="ctr"/>
        <c:lblOffset val="100"/>
        <c:noMultiLvlLbl val="0"/>
      </c:catAx>
      <c:valAx>
        <c:axId val="527762472"/>
        <c:scaling>
          <c:orientation val="minMax"/>
        </c:scaling>
        <c:delete val="0"/>
        <c:axPos val="l"/>
        <c:majorGridlines>
          <c:spPr>
            <a:ln w="222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52776214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600" b="0" i="0" u="none" strike="noStrike" kern="1200" baseline="0">
              <a:solidFill>
                <a:schemeClr val="lt1">
                  <a:lumMod val="75000"/>
                </a:schemeClr>
              </a:solidFill>
              <a:latin typeface="+mn-lt"/>
              <a:ea typeface="+mn-ea"/>
              <a:cs typeface="+mn-cs"/>
            </a:defRPr>
          </a:pPr>
          <a:endParaRPr lang="en-US"/>
        </a:p>
      </c:txPr>
    </c:legend>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6">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myusage.provo.org/app/login.jsp" TargetMode="External"/><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504825</xdr:colOff>
      <xdr:row>8</xdr:row>
      <xdr:rowOff>95250</xdr:rowOff>
    </xdr:from>
    <xdr:to>
      <xdr:col>24</xdr:col>
      <xdr:colOff>0</xdr:colOff>
      <xdr:row>35</xdr:row>
      <xdr:rowOff>179918</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38100</xdr:colOff>
      <xdr:row>3</xdr:row>
      <xdr:rowOff>133350</xdr:rowOff>
    </xdr:from>
    <xdr:to>
      <xdr:col>5</xdr:col>
      <xdr:colOff>266699</xdr:colOff>
      <xdr:row>6</xdr:row>
      <xdr:rowOff>152400</xdr:rowOff>
    </xdr:to>
    <xdr:pic>
      <xdr:nvPicPr>
        <xdr:cNvPr id="4" name="Picture 3" descr="Image result for provo power logo">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65767" y="715433"/>
          <a:ext cx="2631016" cy="1130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21166</xdr:colOff>
      <xdr:row>2</xdr:row>
      <xdr:rowOff>169333</xdr:rowOff>
    </xdr:from>
    <xdr:to>
      <xdr:col>32</xdr:col>
      <xdr:colOff>31749</xdr:colOff>
      <xdr:row>36</xdr:row>
      <xdr:rowOff>31750</xdr:rowOff>
    </xdr:to>
    <xdr:sp macro="" textlink="">
      <xdr:nvSpPr>
        <xdr:cNvPr id="3" name="TextBox 2">
          <a:hlinkClick xmlns:r="http://schemas.openxmlformats.org/officeDocument/2006/relationships" r:id="rId3"/>
          <a:extLst>
            <a:ext uri="{FF2B5EF4-FFF2-40B4-BE49-F238E27FC236}">
              <a16:creationId xmlns:a16="http://schemas.microsoft.com/office/drawing/2014/main" id="{DFA4EC14-97D9-AA69-3FDE-B6BE94297B24}"/>
            </a:ext>
          </a:extLst>
        </xdr:cNvPr>
        <xdr:cNvSpPr txBox="1"/>
      </xdr:nvSpPr>
      <xdr:spPr>
        <a:xfrm>
          <a:off x="15335249" y="550333"/>
          <a:ext cx="4307417" cy="692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This calculator was created to help Provo residents make an informed decision as to whether signing up for shared solar or installing rooftop solar on their homes is the right long-term financial choice for them.</a:t>
          </a:r>
        </a:p>
        <a:p>
          <a:endParaRPr lang="en-US" sz="1100" baseline="0"/>
        </a:p>
        <a:p>
          <a:r>
            <a:rPr lang="en-US" sz="1100" baseline="0"/>
            <a:t>The first step to using this calculator is knowing what your average monthly household energy consumption is. Energy consumption is measured in kilowatt hours (kWh). You can find your monthly kWhs by going to </a:t>
          </a:r>
          <a:r>
            <a:rPr lang="en-US" sz="1100" b="1" u="sng" baseline="0">
              <a:solidFill>
                <a:srgbClr val="00B0F0"/>
              </a:solidFill>
            </a:rPr>
            <a:t>myusage.provo.org</a:t>
          </a:r>
          <a:r>
            <a:rPr lang="en-US" sz="1100" baseline="0"/>
            <a:t>. Once you know your usage, select your </a:t>
          </a:r>
          <a:r>
            <a:rPr lang="en-US" sz="1100" b="1" baseline="0">
              <a:solidFill>
                <a:srgbClr val="7030A0"/>
              </a:solidFill>
            </a:rPr>
            <a:t>Average Monthly kWh</a:t>
          </a:r>
          <a:r>
            <a:rPr lang="en-US" sz="1100" baseline="0"/>
            <a:t> from the dropdown.</a:t>
          </a:r>
        </a:p>
        <a:p>
          <a:endParaRPr lang="en-US" sz="1100" baseline="0"/>
        </a:p>
        <a:p>
          <a:r>
            <a:rPr lang="en-US" sz="1100"/>
            <a:t>The</a:t>
          </a:r>
          <a:r>
            <a:rPr lang="en-US" sz="1100" baseline="0"/>
            <a:t> next step for this calculator is to determine the right number of </a:t>
          </a:r>
          <a:r>
            <a:rPr lang="en-US" sz="1100" b="1" baseline="0">
              <a:solidFill>
                <a:schemeClr val="accent1"/>
              </a:solidFill>
            </a:rPr>
            <a:t>Solar Blocks </a:t>
          </a:r>
          <a:r>
            <a:rPr lang="en-US" sz="1100" baseline="0"/>
            <a:t>for your home. W</a:t>
          </a:r>
          <a:r>
            <a:rPr lang="en-US" sz="1100"/>
            <a:t>hen signing up for Provo</a:t>
          </a:r>
          <a:r>
            <a:rPr lang="en-US" sz="1100" baseline="0"/>
            <a:t> Power's Shared Solar program, you can buy blocks of solar energy from our locally owned solar farm. Each block you sign up for is permanently locked in at the price $21.24 per month. For each block you purhase, 200 kWhs of energy consumption will be subtracted from your monthly bill. Please note, </a:t>
          </a:r>
          <a:r>
            <a:rPr lang="en-US" sz="1100" b="1" u="sng" baseline="0"/>
            <a:t>your average kWh consumption cannot be lower than the number of kWhs deducted from your bill</a:t>
          </a:r>
          <a:r>
            <a:rPr lang="en-US" sz="1100" baseline="0"/>
            <a:t>. Selecting too many solar blocks will result in an error.</a:t>
          </a:r>
          <a:endParaRPr lang="en-US" sz="1100"/>
        </a:p>
        <a:p>
          <a:endParaRPr lang="en-US" sz="1100"/>
        </a:p>
        <a:p>
          <a:r>
            <a:rPr lang="en-US" sz="1100"/>
            <a:t>After</a:t>
          </a:r>
          <a:r>
            <a:rPr lang="en-US" sz="1100" baseline="0"/>
            <a:t> you have selected your solar blocks, you are ready to start the rooftop solar portion of the calculator. The first step is to </a:t>
          </a:r>
          <a:r>
            <a:rPr lang="en-US" sz="1100"/>
            <a:t>calculate the size of the solar system you would like to install on your roof. A quick method to do this is to divide the number of kWhs you would like to produce each month by 160 (the average monthly</a:t>
          </a:r>
          <a:r>
            <a:rPr lang="en-US" sz="1100" baseline="0"/>
            <a:t> sunshine hours in Utah). This will give you a close estimate of the number of kilowatts (kW) you should install to reach your kWh goal. Use the </a:t>
          </a:r>
          <a:r>
            <a:rPr lang="en-US" sz="1100" b="1" baseline="0">
              <a:solidFill>
                <a:schemeClr val="accent2"/>
              </a:solidFill>
            </a:rPr>
            <a:t>Sytem kW Size </a:t>
          </a:r>
          <a:r>
            <a:rPr lang="en-US" sz="1100" baseline="0"/>
            <a:t>dropdown menu to select number of kilowatts you need.</a:t>
          </a:r>
        </a:p>
        <a:p>
          <a:endParaRPr lang="en-US" sz="1100" baseline="0"/>
        </a:p>
        <a:p>
          <a:r>
            <a:rPr lang="en-US" sz="1100" baseline="0"/>
            <a:t>Finally, you can choose whether you intend to pay for your solar panels in </a:t>
          </a:r>
          <a:r>
            <a:rPr lang="en-US" sz="1100" b="1" baseline="0">
              <a:solidFill>
                <a:schemeClr val="accent4"/>
              </a:solidFill>
            </a:rPr>
            <a:t>Cash</a:t>
          </a:r>
          <a:r>
            <a:rPr lang="en-US" sz="1100" baseline="0"/>
            <a:t> or </a:t>
          </a:r>
          <a:r>
            <a:rPr lang="en-US" sz="1100" b="1" baseline="0">
              <a:solidFill>
                <a:srgbClr val="FF0000"/>
              </a:solidFill>
            </a:rPr>
            <a:t>Financing</a:t>
          </a:r>
          <a:r>
            <a:rPr lang="en-US" sz="1100" baseline="0"/>
            <a:t> your purchase through a loan.</a:t>
          </a:r>
        </a:p>
        <a:p>
          <a:endParaRPr lang="en-US" sz="1100" baseline="0"/>
        </a:p>
        <a:p>
          <a:r>
            <a:rPr lang="en-US" sz="1100" baseline="0"/>
            <a:t>After making your selections from the dropdown menu, you will see that the grayed-out boxes in the table will have changed as well as the ROI graph below it. </a:t>
          </a:r>
          <a:r>
            <a:rPr lang="en-US" sz="1100" baseline="0">
              <a:solidFill>
                <a:sysClr val="windowText" lastClr="000000"/>
              </a:solidFill>
            </a:rPr>
            <a:t>The graph shows you the timeline of how long it will take you to reach your solar panel breakeven point and total ROI for your selections.</a:t>
          </a:r>
        </a:p>
        <a:p>
          <a:endParaRPr lang="en-US" sz="1100" baseline="0">
            <a:solidFill>
              <a:sysClr val="windowText" lastClr="000000"/>
            </a:solidFill>
          </a:endParaRPr>
        </a:p>
        <a:p>
          <a:r>
            <a:rPr lang="en-US" sz="1100" baseline="0">
              <a:solidFill>
                <a:sysClr val="windowText" lastClr="000000"/>
              </a:solidFill>
            </a:rPr>
            <a:t>For further details on the variables, assumptions, and other inputs for this calculator, see the Input tab.</a:t>
          </a:r>
          <a:endParaRPr lang="en-US" sz="1100">
            <a:solidFill>
              <a:schemeClr val="accent2"/>
            </a:solidFill>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ROI_Table" displayName="ROI_Table" ref="A2:O27" totalsRowShown="0" headerRowDxfId="31">
  <autoFilter ref="A2:O27"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000-000001000000}" name="Year" dataDxfId="30"/>
    <tableColumn id="8" xr3:uid="{452DED6B-D451-4486-AECF-22FCEFDC6050}" name="Net Solar kWh" dataDxfId="29">
      <calculatedColumnFormula>Input!$H$10*((1-((ROI_Table[[#This Row],[Year]]-1)*Input!$E$18)))</calculatedColumnFormula>
    </tableColumn>
    <tableColumn id="2" xr3:uid="{00000000-0010-0000-0000-000002000000}" name="Service Charge" dataDxfId="28" dataCellStyle="Currency">
      <calculatedColumnFormula>VLOOKUP(SUM(ROI_Table[[#This Row],[Year]],Input!$E$12),Table33[#All],2,FALSE)</calculatedColumnFormula>
    </tableColumn>
    <tableColumn id="3" xr3:uid="{00000000-0010-0000-0000-000003000000}" name="Block 1" dataDxfId="27" dataCellStyle="Currency">
      <calculatedColumnFormula>VLOOKUP(SUM(ROI_Table[[#This Row],[Year]],Input!$E$12),Table33[#All],3,FALSE)</calculatedColumnFormula>
    </tableColumn>
    <tableColumn id="4" xr3:uid="{00000000-0010-0000-0000-000004000000}" name="Block 2" dataDxfId="26" dataCellStyle="Currency">
      <calculatedColumnFormula>VLOOKUP(SUM(ROI_Table[[#This Row],[Year]],Input!$E$12),Table33[#All],4,FALSE)</calculatedColumnFormula>
    </tableColumn>
    <tableColumn id="5" xr3:uid="{00000000-0010-0000-0000-000005000000}" name="Block 3" dataDxfId="25" dataCellStyle="Currency">
      <calculatedColumnFormula>VLOOKUP(SUM(ROI_Table[[#This Row],[Year]],Input!$E$12),Table33[#All],5,FALSE)</calculatedColumnFormula>
    </tableColumn>
    <tableColumn id="14" xr3:uid="{00000000-0010-0000-0000-00000E000000}" name="Annual Non-Solar Bill" dataDxfId="24" dataCellStyle="Currency">
      <calculatedColumnFormula>(SUM(ROI_Table[[#This Row],[Service Charge]],IF(Input!$H$6&lt;Input!$M$10,Input!$H$6*ROI_Table[[#This Row],[Block 1]],IF(Input!$H$6&lt;Input!$M$11,SUM(Input!$M$10*ROI_Table[[#This Row],[Block 1]],(Input!$H$6-Input!$M$10)*ROI_Table[[#This Row],[Block 2]]),SUM(Input!$M$10*ROI_Table[[#This Row],[Block 1]],Input!$M$10*ROI_Table[[#This Row],[Block 2]],(Input!$H$6-Input!$M$11)*ROI_Table[[#This Row],[Block 3]]))))*(1+Input!$N$14))*12</calculatedColumnFormula>
    </tableColumn>
    <tableColumn id="6" xr3:uid="{2C0A3ED2-F989-4231-8E8D-15F69D6D3FF7}" name="Annual Shared Solar Bill" dataDxfId="23">
      <calculatedColumnFormula>(SUM(ROI_Table[[#This Row],[Service Charge]],Input!$M$8*Input!$N$8,IF(Input!$K$16&lt;Input!$M$10,Input!$K$16*ROI_Table[[#This Row],[Block 1]],IF(Input!$K$16&lt;Input!$M$11,SUM(Input!$M$10*ROI_Table[[#This Row],[Block 1]],(Input!$K$16-Input!$M$10)*ROI_Table[[#This Row],[Block 2]]),SUM(Input!$M$10*ROI_Table[[#This Row],[Block 1]],Input!$M$10*ROI_Table[[#This Row],[Block 2]],(Input!$K$16-Input!$M$11)*ROI_Table[[#This Row],[Block 3]]))))*(1+Input!$N$14))*12</calculatedColumnFormula>
    </tableColumn>
    <tableColumn id="7" xr3:uid="{0B6B8DB1-6D8A-4867-B5CC-D5D59C5BC216}" name="Shared Solar Avoided Cost" dataDxfId="22">
      <calculatedColumnFormula>ROI_Table[[#This Row],[Annual Non-Solar Bill]]-ROI_Table[[#This Row],[Annual Shared Solar Bill]]</calculatedColumnFormula>
    </tableColumn>
    <tableColumn id="16" xr3:uid="{00000000-0010-0000-0000-000010000000}" name="Monthly kWh Bill" dataDxfId="21" dataCellStyle="Currency">
      <calculatedColumnFormula>IF(ROI_Table[[#This Row],[Net Solar kWh]]&lt;0,SUM(ROI_Table[[#This Row],[Net Solar kWh]]*-Input!$N$13,IF(Input!$H$7&lt;Input!$M$10,Input!$H$7*ROI_Table[[#This Row],[Block 1]],IF(Input!$H$7&lt;Input!$M$11,SUM(Input!$M$10*ROI_Table[[#This Row],[Block 1]],(Input!$H$7-Input!$M$10)*ROI_Table[[#This Row],[Block 2]]),SUM(Input!$M$10*ROI_Table[[#This Row],[Block 1]],Input!$M$10*ROI_Table[[#This Row],[Block 2]],(Input!$H$7-Input!$M$11)*ROI_Table[[#This Row],[Block 3]])))),IF(SUM(ROI_Table[[#This Row],[Net Solar kWh]],Input!$H$7)&lt;Input!$M$10,SUM(ROI_Table[[#This Row],[Net Solar kWh]],Input!$H$7)*ROI_Table[[#This Row],[Block 1]],IF(SUM(ROI_Table[[#This Row],[Net Solar kWh]],Input!$H$7)&lt;Input!$M$11,SUM(Input!$M$10*ROI_Table[[#This Row],[Block 1]],(SUM(ROI_Table[[#This Row],[Net Solar kWh]],Input!$H$7)-Input!$M$10)*ROI_Table[[#This Row],[Block 2]]),SUM(Input!$M$10*ROI_Table[[#This Row],[Block 1]],Input!$M$10*ROI_Table[[#This Row],[Block 2]],(SUM(ROI_Table[[#This Row],[Net Solar kWh]],Input!$H$7)-Input!$M$11)*ROI_Table[[#This Row],[Block 3]]))))</calculatedColumnFormula>
    </tableColumn>
    <tableColumn id="10" xr3:uid="{00000000-0010-0000-0000-00000A000000}" name="Annual Rooftop Bill" dataDxfId="20">
      <calculatedColumnFormula>IF(ROI_Table[[#This Row],[Monthly kWh Bill]]&lt;0,((ROI_Table[[#This Row],[Service Charge]]*(1+Input!$N$14))*12),(SUM(ROI_Table[[#This Row],[Service Charge]],ROI_Table[[#This Row],[Monthly kWh Bill]])*(1+Input!$N$14))*12)</calculatedColumnFormula>
    </tableColumn>
    <tableColumn id="11" xr3:uid="{00000000-0010-0000-0000-00000B000000}" name="Rooftop Avoided Cost" dataDxfId="19">
      <calculatedColumnFormula>ROI_Table[[#This Row],[Annual Non-Solar Bill]]-ROI_Table[[#This Row],[Annual Rooftop Bill]]</calculatedColumnFormula>
    </tableColumn>
    <tableColumn id="9" xr3:uid="{B71E7A3C-EF30-49B6-87B4-C1D979F088C5}" name="Shared Solar ROI" dataDxfId="18"/>
    <tableColumn id="12" xr3:uid="{00000000-0010-0000-0000-00000C000000}" name="Cash ROI" dataDxfId="17">
      <calculatedColumnFormula>IF(ROI_Table[[#This Row],[Year]]&gt;1,SUM(N2,ROI_Table[[#This Row],[Rooftop Avoided Cost]]),SUM(-Input!$K$9,ROI_Table[[#This Row],[Rooftop Avoided Cost]]))</calculatedColumnFormula>
    </tableColumn>
    <tableColumn id="18" xr3:uid="{00000000-0010-0000-0000-000012000000}" name="Financing ROI" dataDxfId="16">
      <calculatedColumnFormula>IF(ROI_Table[[#This Row],[Year]]&gt;Input!$E$9,SUM(ROI_Table[[#This Row],[Rooftop Avoided Cost]],O2),IF(ROI_Table[[#This Row],[Year]]&gt;1,SUM(ROI_Table[[#This Row],[Rooftop Avoided Cost]],-Input!$K$11,O2),SUM(ROI_Table[[#This Row],[Rooftop Avoided Cost]],-SUM(Input!$K$7:$K$8,Input!$K$10:$K$11))))</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CDFAC33-5AC9-49CA-A594-77A223A568E9}" name="Cash_Breakeven" displayName="Cash_Breakeven" ref="Q2:R27" totalsRowShown="0" headerRowDxfId="15" dataDxfId="14">
  <autoFilter ref="Q2:R27" xr:uid="{5CDFAC33-5AC9-49CA-A594-77A223A568E9}">
    <filterColumn colId="0" hiddenButton="1"/>
    <filterColumn colId="1" hiddenButton="1"/>
  </autoFilter>
  <tableColumns count="2">
    <tableColumn id="1" xr3:uid="{5342E9E5-2D57-4609-AB07-22AF351BFB58}" name="Cash Breakeven" dataDxfId="13">
      <calculatedColumnFormula>IF(AND(ROI_Table[[#This Row],[Cash ROI]]&gt;1,$N2&lt;1),"Yes","No")</calculatedColumnFormula>
    </tableColumn>
    <tableColumn id="2" xr3:uid="{822BD49D-91AD-42EC-9CF1-993720241671}" name="Year" dataDxfId="12">
      <calculatedColumnFormula>ROI_Table[[#This Row],[Year]]</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9D60FF2-D8B0-4867-858F-AE53EA6BD3EC}" name="Payment_Plan_Breakeven" displayName="Payment_Plan_Breakeven" ref="T2:U27" totalsRowShown="0" headerRowDxfId="11" dataDxfId="10">
  <autoFilter ref="T2:U27" xr:uid="{29D60FF2-D8B0-4867-858F-AE53EA6BD3EC}">
    <filterColumn colId="0" hiddenButton="1"/>
    <filterColumn colId="1" hiddenButton="1"/>
  </autoFilter>
  <tableColumns count="2">
    <tableColumn id="1" xr3:uid="{AE9FCBA8-7F30-450D-858C-D35F9E899237}" name="Financing Breakeven" dataDxfId="9">
      <calculatedColumnFormula>IF(AND(ROI_Table[[#This Row],[Financing ROI]]&gt;1,$O2&lt;1),"Yes","No")</calculatedColumnFormula>
    </tableColumn>
    <tableColumn id="2" xr3:uid="{C21C357C-2621-4F10-9E38-EA31E3231121}" name="Year" dataDxfId="8">
      <calculatedColumnFormula>ROI_Table[[#This Row],[Year]]</calculatedColumnFormula>
    </tableColumn>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33" displayName="Table33" ref="A2:E50" totalsRowShown="0">
  <autoFilter ref="A2:E50" xr:uid="{00000000-0009-0000-0100-000002000000}">
    <filterColumn colId="0" hiddenButton="1"/>
    <filterColumn colId="1" hiddenButton="1"/>
    <filterColumn colId="2" hiddenButton="1"/>
    <filterColumn colId="3" hiddenButton="1"/>
    <filterColumn colId="4" hiddenButton="1"/>
  </autoFilter>
  <tableColumns count="5">
    <tableColumn id="1" xr3:uid="{00000000-0010-0000-0100-000001000000}" name="Timeline" dataDxfId="7"/>
    <tableColumn id="2" xr3:uid="{00000000-0010-0000-0100-000002000000}" name="Service Charge" dataDxfId="6">
      <calculatedColumnFormula>B2</calculatedColumnFormula>
    </tableColumn>
    <tableColumn id="3" xr3:uid="{00000000-0010-0000-0100-000003000000}" name="Block 1" dataDxfId="5"/>
    <tableColumn id="4" xr3:uid="{00000000-0010-0000-0100-000004000000}" name="Block 2" dataDxfId="4"/>
    <tableColumn id="5" xr3:uid="{00000000-0010-0000-0100-000005000000}" name="Block 3" dataDxfId="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energysage.com/local-data/solar-panel-cost/ut/" TargetMode="External"/><Relationship Id="rId1" Type="http://schemas.openxmlformats.org/officeDocument/2006/relationships/hyperlink" Target="https://www.energy.gov/eere/solar/homeowners-guide-federal-tax-credit-solar-photovoltaic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vmlDrawing" Target="../drawings/vmlDrawing2.vml"/><Relationship Id="rId5" Type="http://schemas.openxmlformats.org/officeDocument/2006/relationships/comments" Target="../comments2.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H3:X7"/>
  <sheetViews>
    <sheetView showGridLines="0" showRowColHeaders="0" tabSelected="1" zoomScale="90" zoomScaleNormal="90" workbookViewId="0">
      <selection activeCell="H7" sqref="H7"/>
    </sheetView>
  </sheetViews>
  <sheetFormatPr defaultColWidth="9.140625" defaultRowHeight="15" x14ac:dyDescent="0.25"/>
  <cols>
    <col min="1" max="3" width="9.140625" style="4" customWidth="1"/>
    <col min="4" max="4" width="8.42578125" style="4" bestFit="1" customWidth="1"/>
    <col min="5" max="5" width="9.140625" style="4" customWidth="1"/>
    <col min="6" max="6" width="9.140625" style="4"/>
    <col min="7" max="7" width="2.5703125" style="4" customWidth="1"/>
    <col min="8" max="8" width="15.5703125" style="4" customWidth="1"/>
    <col min="9" max="9" width="7.42578125" style="4" customWidth="1"/>
    <col min="10" max="10" width="11.85546875" style="4" bestFit="1" customWidth="1"/>
    <col min="11" max="11" width="10.140625" style="4" bestFit="1" customWidth="1"/>
    <col min="12" max="12" width="9" style="4" bestFit="1" customWidth="1"/>
    <col min="13" max="13" width="10" style="4" bestFit="1" customWidth="1"/>
    <col min="14" max="14" width="13.42578125" style="4" bestFit="1" customWidth="1"/>
    <col min="15" max="15" width="12" style="4" customWidth="1"/>
    <col min="16" max="16" width="11.5703125" style="4" customWidth="1"/>
    <col min="17" max="17" width="11.42578125" style="4" customWidth="1"/>
    <col min="18" max="18" width="2.7109375" style="4" customWidth="1"/>
    <col min="19" max="24" width="9.140625" style="4"/>
    <col min="25" max="25" width="2.5703125" style="4" customWidth="1"/>
    <col min="26" max="16384" width="9.140625" style="4"/>
  </cols>
  <sheetData>
    <row r="3" spans="8:24" ht="15.75" thickBot="1" x14ac:dyDescent="0.3"/>
    <row r="4" spans="8:24" ht="29.25" customHeight="1" thickBot="1" x14ac:dyDescent="0.4">
      <c r="H4" s="101" t="s">
        <v>0</v>
      </c>
      <c r="I4" s="102"/>
      <c r="J4" s="102"/>
      <c r="K4" s="102"/>
      <c r="L4" s="102"/>
      <c r="M4" s="102"/>
      <c r="N4" s="102"/>
      <c r="O4" s="103"/>
      <c r="P4" s="103"/>
      <c r="Q4" s="104"/>
      <c r="S4" s="105" t="s">
        <v>1</v>
      </c>
      <c r="T4" s="106"/>
      <c r="U4" s="106"/>
      <c r="V4" s="106"/>
      <c r="W4" s="106"/>
      <c r="X4" s="107"/>
    </row>
    <row r="5" spans="8:24" ht="29.25" customHeight="1" x14ac:dyDescent="0.25">
      <c r="H5" s="79" t="s">
        <v>2</v>
      </c>
      <c r="I5" s="113" t="s">
        <v>3</v>
      </c>
      <c r="J5" s="113"/>
      <c r="K5" s="114"/>
      <c r="L5" s="111" t="s">
        <v>4</v>
      </c>
      <c r="M5" s="111"/>
      <c r="N5" s="111"/>
      <c r="O5" s="111"/>
      <c r="P5" s="111"/>
      <c r="Q5" s="112"/>
      <c r="S5" s="108" t="s">
        <v>5</v>
      </c>
      <c r="T5" s="109"/>
      <c r="U5" s="109"/>
      <c r="V5" s="109"/>
      <c r="W5" s="109"/>
      <c r="X5" s="110"/>
    </row>
    <row r="6" spans="8:24" ht="29.25" customHeight="1" x14ac:dyDescent="0.25">
      <c r="H6" s="78" t="s">
        <v>6</v>
      </c>
      <c r="I6" s="80" t="s">
        <v>7</v>
      </c>
      <c r="J6" s="81" t="s">
        <v>8</v>
      </c>
      <c r="K6" s="82" t="s">
        <v>9</v>
      </c>
      <c r="L6" s="64" t="s">
        <v>10</v>
      </c>
      <c r="M6" s="65" t="s">
        <v>11</v>
      </c>
      <c r="N6" s="65" t="s">
        <v>12</v>
      </c>
      <c r="O6" s="65" t="s">
        <v>8</v>
      </c>
      <c r="P6" s="67" t="s">
        <v>13</v>
      </c>
      <c r="Q6" s="66" t="s">
        <v>9</v>
      </c>
      <c r="S6" s="95" t="s">
        <v>14</v>
      </c>
      <c r="T6" s="96"/>
      <c r="U6" s="96"/>
      <c r="V6" s="96"/>
      <c r="W6" s="96"/>
      <c r="X6" s="97"/>
    </row>
    <row r="7" spans="8:24" ht="29.25" customHeight="1" thickBot="1" x14ac:dyDescent="0.3">
      <c r="H7" s="83">
        <v>1600</v>
      </c>
      <c r="I7" s="84">
        <v>3</v>
      </c>
      <c r="J7" s="92">
        <f ca="1">IF(Input!$M$8&gt;Input!$H$6,"Error!",AVERAGE(ROI_Table[Shared Solar Avoided Cost])/12)</f>
        <v>28.801385688999563</v>
      </c>
      <c r="K7" s="85">
        <f ca="1">IF(Input!$M$8&gt;Input!$H$6,"Error!",'Calculator Table'!$M$27)</f>
        <v>8640.4157066998687</v>
      </c>
      <c r="L7" s="86">
        <v>5</v>
      </c>
      <c r="M7" s="87" t="s">
        <v>15</v>
      </c>
      <c r="N7" s="88">
        <f>IF($M$7='Drop Down'!$C$2,Input!$K$9,Input!$K$12)</f>
        <v>10202.5</v>
      </c>
      <c r="O7" s="89">
        <f ca="1">Input!$H$17</f>
        <v>81.011330701429955</v>
      </c>
      <c r="P7" s="90">
        <f ca="1">IF($M$7='Drop Down'!$C$2,VLOOKUP("Yes",Cash_Breakeven[],2,FALSE),VLOOKUP("Yes",Payment_Plan_Breakeven[],2,FALSE))</f>
        <v>12</v>
      </c>
      <c r="Q7" s="91">
        <f ca="1">IF($M$7='Drop Down'!$C$2,'Calculator Table'!$N$27,'Calculator Table'!$O$27)</f>
        <v>14100.899210428997</v>
      </c>
      <c r="S7" s="98" t="s">
        <v>16</v>
      </c>
      <c r="T7" s="99"/>
      <c r="U7" s="99"/>
      <c r="V7" s="99"/>
      <c r="W7" s="99"/>
      <c r="X7" s="100"/>
    </row>
  </sheetData>
  <sheetProtection algorithmName="SHA-512" hashValue="UDvm78vRoHWh7RDu33jEX+k13oHpKyab2skCWo+kH1yS+/eMhOqmVvX5jApAE25Aue7LhDLcxR45fWb0PzLatQ==" saltValue="Ef06w4XTLnjR22/JtE/rDQ==" spinCount="100000" sheet="1" objects="1" scenarios="1" selectLockedCells="1"/>
  <mergeCells count="7">
    <mergeCell ref="S6:X6"/>
    <mergeCell ref="S7:X7"/>
    <mergeCell ref="H4:Q4"/>
    <mergeCell ref="S4:X4"/>
    <mergeCell ref="S5:X5"/>
    <mergeCell ref="L5:Q5"/>
    <mergeCell ref="I5:K5"/>
  </mergeCells>
  <conditionalFormatting sqref="J7:K7">
    <cfRule type="containsText" dxfId="2" priority="1" operator="containsText" text="Error">
      <formula>NOT(ISERROR(SEARCH("Error",J7)))</formula>
    </cfRule>
  </conditionalFormatting>
  <conditionalFormatting sqref="M7">
    <cfRule type="containsText" dxfId="1" priority="2" operator="containsText" text="Financing">
      <formula>NOT(ISERROR(SEARCH("Financing",M7)))</formula>
    </cfRule>
    <cfRule type="containsText" dxfId="0" priority="3" operator="containsText" text="Cash">
      <formula>NOT(ISERROR(SEARCH("Cash",M7)))</formula>
    </cfRule>
  </conditionalFormatting>
  <pageMargins left="0.7" right="0.7" top="0.75" bottom="0.75" header="0.3" footer="0.3"/>
  <pageSetup scale="39"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'Drop Down'!$B$2:$B$26</xm:f>
          </x14:formula1>
          <xm:sqref>L7 I7</xm:sqref>
        </x14:dataValidation>
        <x14:dataValidation type="list" allowBlank="1" showInputMessage="1" showErrorMessage="1" xr:uid="{00000000-0002-0000-0000-000002000000}">
          <x14:formula1>
            <xm:f>'Drop Down'!$A$2:$A$41</xm:f>
          </x14:formula1>
          <xm:sqref>H7</xm:sqref>
        </x14:dataValidation>
        <x14:dataValidation type="list" allowBlank="1" showInputMessage="1" showErrorMessage="1" xr:uid="{132E8D85-51DC-4CE3-A8FE-56D84CBD9537}">
          <x14:formula1>
            <xm:f>'Drop Down'!$C$2:$C$3</xm:f>
          </x14:formula1>
          <xm:sqref>M7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5:N24"/>
  <sheetViews>
    <sheetView showGridLines="0" showRowColHeaders="0" workbookViewId="0">
      <selection activeCell="E16" sqref="E16"/>
    </sheetView>
  </sheetViews>
  <sheetFormatPr defaultRowHeight="15" x14ac:dyDescent="0.25"/>
  <cols>
    <col min="4" max="4" width="13.7109375" bestFit="1" customWidth="1"/>
    <col min="5" max="5" width="6.5703125" bestFit="1" customWidth="1"/>
    <col min="6" max="6" width="4.7109375" customWidth="1"/>
    <col min="7" max="7" width="27.140625" bestFit="1" customWidth="1"/>
    <col min="8" max="8" width="7.7109375" bestFit="1" customWidth="1"/>
    <col min="9" max="9" width="4.7109375" customWidth="1"/>
    <col min="10" max="10" width="15.7109375" bestFit="1" customWidth="1"/>
    <col min="11" max="11" width="9.7109375" bestFit="1" customWidth="1"/>
    <col min="12" max="12" width="4.140625" customWidth="1"/>
    <col min="13" max="13" width="15.140625" bestFit="1" customWidth="1"/>
    <col min="14" max="14" width="9.7109375" bestFit="1" customWidth="1"/>
    <col min="15" max="15" width="10.5703125" bestFit="1" customWidth="1"/>
  </cols>
  <sheetData>
    <row r="5" spans="2:14" x14ac:dyDescent="0.25">
      <c r="B5" s="119" t="s">
        <v>17</v>
      </c>
      <c r="C5" s="120"/>
      <c r="D5" s="117" t="s">
        <v>18</v>
      </c>
      <c r="E5" s="118"/>
      <c r="G5" s="115" t="s">
        <v>19</v>
      </c>
      <c r="H5" s="116"/>
      <c r="J5" s="115" t="s">
        <v>20</v>
      </c>
      <c r="K5" s="116"/>
      <c r="M5" s="115" t="s">
        <v>21</v>
      </c>
      <c r="N5" s="116"/>
    </row>
    <row r="6" spans="2:14" x14ac:dyDescent="0.25">
      <c r="B6" s="119"/>
      <c r="C6" s="120"/>
      <c r="D6" s="60" t="s">
        <v>22</v>
      </c>
      <c r="E6" s="57">
        <v>2650</v>
      </c>
      <c r="G6" s="21" t="s">
        <v>23</v>
      </c>
      <c r="H6" s="22">
        <f>Calculator!$H$7</f>
        <v>1600</v>
      </c>
      <c r="J6" s="27" t="s">
        <v>24</v>
      </c>
      <c r="K6" s="28">
        <f>$E$6*Calculator!$L$7</f>
        <v>13250</v>
      </c>
      <c r="M6" s="27" t="s">
        <v>25</v>
      </c>
      <c r="N6" s="38">
        <f ca="1">VLOOKUP($E$12,Table33[#All],2,FALSE)</f>
        <v>17.447849999999999</v>
      </c>
    </row>
    <row r="7" spans="2:14" x14ac:dyDescent="0.25">
      <c r="B7" s="119"/>
      <c r="C7" s="120"/>
      <c r="D7" s="7" t="s">
        <v>26</v>
      </c>
      <c r="E7" s="58">
        <v>0.05</v>
      </c>
      <c r="G7" s="19" t="s">
        <v>27</v>
      </c>
      <c r="H7" s="23">
        <f>$H$11*($E$15)</f>
        <v>1249.3333333333333</v>
      </c>
      <c r="J7" s="27" t="s">
        <v>28</v>
      </c>
      <c r="K7" s="29">
        <f>$K$6*$E$13</f>
        <v>927.50000000000011</v>
      </c>
      <c r="M7" s="27" t="s">
        <v>3</v>
      </c>
      <c r="N7" s="39"/>
    </row>
    <row r="8" spans="2:14" x14ac:dyDescent="0.25">
      <c r="B8" s="119"/>
      <c r="C8" s="120"/>
      <c r="D8" s="7" t="s">
        <v>29</v>
      </c>
      <c r="E8" s="58">
        <v>0.15</v>
      </c>
      <c r="G8" s="19" t="s">
        <v>30</v>
      </c>
      <c r="H8" s="23">
        <f>$H$11*($E$16)</f>
        <v>350.66666666666663</v>
      </c>
      <c r="J8" s="30" t="s">
        <v>31</v>
      </c>
      <c r="K8" s="31">
        <f>-$K$6*$E$14</f>
        <v>-3975</v>
      </c>
      <c r="M8" s="68">
        <f>K15*200</f>
        <v>600</v>
      </c>
      <c r="N8" s="40">
        <v>0.1062</v>
      </c>
    </row>
    <row r="9" spans="2:14" ht="15.75" thickBot="1" x14ac:dyDescent="0.3">
      <c r="B9" s="119"/>
      <c r="C9" s="120"/>
      <c r="D9" s="8" t="s">
        <v>32</v>
      </c>
      <c r="E9" s="59">
        <v>7</v>
      </c>
      <c r="G9" s="19" t="s">
        <v>33</v>
      </c>
      <c r="H9" s="23">
        <f>$H$12*$E$16</f>
        <v>695.6159420289855</v>
      </c>
      <c r="J9" s="32" t="s">
        <v>34</v>
      </c>
      <c r="K9" s="33">
        <f>SUM($K$6:$K$8)</f>
        <v>10202.5</v>
      </c>
      <c r="M9" s="27" t="s">
        <v>35</v>
      </c>
      <c r="N9" s="39"/>
    </row>
    <row r="10" spans="2:14" ht="15.75" thickTop="1" x14ac:dyDescent="0.25">
      <c r="D10" s="1"/>
      <c r="E10" s="12"/>
      <c r="G10" s="19" t="s">
        <v>36</v>
      </c>
      <c r="H10" s="23">
        <f>$H$8-$H$9</f>
        <v>-344.94927536231887</v>
      </c>
      <c r="J10" s="27" t="s">
        <v>37</v>
      </c>
      <c r="K10" s="29">
        <f>$K$6*$E$7</f>
        <v>662.5</v>
      </c>
      <c r="M10" s="27">
        <v>500</v>
      </c>
      <c r="N10" s="40">
        <f ca="1">VLOOKUP($E$12,Table33[#All],3,FALSE)</f>
        <v>7.4500999999999998E-2</v>
      </c>
    </row>
    <row r="11" spans="2:14" x14ac:dyDescent="0.25">
      <c r="B11" s="121" t="s">
        <v>38</v>
      </c>
      <c r="C11" s="122"/>
      <c r="D11" s="123" t="s">
        <v>39</v>
      </c>
      <c r="E11" s="124"/>
      <c r="G11" s="19" t="s">
        <v>40</v>
      </c>
      <c r="H11" s="24">
        <f>Calculator!$H$7/730</f>
        <v>2.1917808219178081</v>
      </c>
      <c r="J11" s="34" t="s">
        <v>41</v>
      </c>
      <c r="K11" s="35">
        <f>-PMT($E$8/12,$E$9*12,$K$6-$K$10)*12</f>
        <v>2914.7748027793755</v>
      </c>
      <c r="M11" s="27">
        <v>1000</v>
      </c>
      <c r="N11" s="40">
        <f ca="1">VLOOKUP($E$12,Table33[#All],4,FALSE)</f>
        <v>0.10342849999999999</v>
      </c>
    </row>
    <row r="12" spans="2:14" x14ac:dyDescent="0.25">
      <c r="B12" s="121"/>
      <c r="C12" s="122"/>
      <c r="D12" s="48" t="s">
        <v>42</v>
      </c>
      <c r="E12" s="49">
        <f ca="1">YEAR(TODAY())</f>
        <v>2024</v>
      </c>
      <c r="G12" s="20" t="s">
        <v>43</v>
      </c>
      <c r="H12" s="25">
        <f>Calculator!$L$7*$E$17</f>
        <v>4.3478260869565224</v>
      </c>
      <c r="J12" s="36" t="s">
        <v>44</v>
      </c>
      <c r="K12" s="37">
        <f>SUM($K$11*$E$9,$K$10,$K$7:$K$8)</f>
        <v>18018.423619455629</v>
      </c>
      <c r="M12" s="41" t="s">
        <v>45</v>
      </c>
      <c r="N12" s="40">
        <f ca="1">VLOOKUP($E$12,Table33[#All],5,FALSE)</f>
        <v>0.12271349999999998</v>
      </c>
    </row>
    <row r="13" spans="2:14" x14ac:dyDescent="0.25">
      <c r="B13" s="121"/>
      <c r="C13" s="122"/>
      <c r="D13" s="18" t="s">
        <v>28</v>
      </c>
      <c r="E13" s="50">
        <v>7.0000000000000007E-2</v>
      </c>
      <c r="M13" s="36" t="s">
        <v>46</v>
      </c>
      <c r="N13" s="42">
        <v>-6.7419999999999994E-2</v>
      </c>
    </row>
    <row r="14" spans="2:14" x14ac:dyDescent="0.25">
      <c r="B14" s="121"/>
      <c r="C14" s="122"/>
      <c r="D14" s="61" t="s">
        <v>47</v>
      </c>
      <c r="E14" s="50">
        <v>0.3</v>
      </c>
      <c r="G14" s="115" t="s">
        <v>48</v>
      </c>
      <c r="H14" s="116"/>
      <c r="J14" s="125" t="s">
        <v>3</v>
      </c>
      <c r="K14" s="126"/>
      <c r="M14" s="43" t="s">
        <v>49</v>
      </c>
      <c r="N14" s="56">
        <v>0.10150000000000001</v>
      </c>
    </row>
    <row r="15" spans="2:14" x14ac:dyDescent="0.25">
      <c r="B15" s="121"/>
      <c r="C15" s="122"/>
      <c r="D15" s="18" t="s">
        <v>50</v>
      </c>
      <c r="E15" s="49">
        <f>(18.74*365)/12</f>
        <v>570.00833333333333</v>
      </c>
      <c r="G15" s="21" t="s">
        <v>51</v>
      </c>
      <c r="H15" s="26">
        <f ca="1">AVERAGE(ROI_Table[Annual Non-Solar Bill])/12</f>
        <v>242.05490396904796</v>
      </c>
      <c r="J15" s="21" t="s">
        <v>7</v>
      </c>
      <c r="K15" s="62">
        <f>Calculator!I7</f>
        <v>3</v>
      </c>
    </row>
    <row r="16" spans="2:14" x14ac:dyDescent="0.25">
      <c r="B16" s="121"/>
      <c r="C16" s="122"/>
      <c r="D16" s="18" t="s">
        <v>52</v>
      </c>
      <c r="E16" s="49">
        <f>(5.26*365)/12</f>
        <v>159.99166666666665</v>
      </c>
      <c r="G16" s="19" t="s">
        <v>53</v>
      </c>
      <c r="H16" s="53">
        <f ca="1">AVERAGE(ROI_Table[Annual Rooftop Bill])/12</f>
        <v>161.043573267618</v>
      </c>
      <c r="J16" s="19" t="s">
        <v>54</v>
      </c>
      <c r="K16" s="63">
        <f>IF($H$6-$M$8&lt;0,0,$H$6-$M$8)</f>
        <v>1000</v>
      </c>
      <c r="L16" s="3"/>
      <c r="M16" s="44" t="s">
        <v>55</v>
      </c>
      <c r="N16" s="45">
        <v>1.4999999999999999E-2</v>
      </c>
    </row>
    <row r="17" spans="2:14" x14ac:dyDescent="0.25">
      <c r="B17" s="121"/>
      <c r="C17" s="122"/>
      <c r="D17" s="19" t="s">
        <v>56</v>
      </c>
      <c r="E17" s="55">
        <f>1/1.15</f>
        <v>0.86956521739130443</v>
      </c>
      <c r="G17" s="52" t="s">
        <v>57</v>
      </c>
      <c r="H17" s="54">
        <f ca="1">H15-H16</f>
        <v>81.011330701429955</v>
      </c>
      <c r="I17" s="11"/>
      <c r="J17" s="20" t="s">
        <v>58</v>
      </c>
      <c r="K17" s="94">
        <f ca="1">AVERAGE(ROI_Table[Shared Solar Avoided Cost])/12</f>
        <v>28.801385688999563</v>
      </c>
      <c r="M17" s="46" t="s">
        <v>59</v>
      </c>
      <c r="N17" s="47">
        <v>0</v>
      </c>
    </row>
    <row r="18" spans="2:14" x14ac:dyDescent="0.25">
      <c r="B18" s="121"/>
      <c r="C18" s="122"/>
      <c r="D18" s="20" t="s">
        <v>60</v>
      </c>
      <c r="E18" s="51">
        <v>8.0000000000000002E-3</v>
      </c>
      <c r="L18" s="11"/>
      <c r="M18" s="1"/>
    </row>
    <row r="20" spans="2:14" x14ac:dyDescent="0.25">
      <c r="D20" s="3"/>
      <c r="E20" s="3"/>
      <c r="M20" s="1"/>
    </row>
    <row r="21" spans="2:14" x14ac:dyDescent="0.25">
      <c r="D21" s="10"/>
      <c r="E21" s="10"/>
    </row>
    <row r="22" spans="2:14" x14ac:dyDescent="0.25">
      <c r="D22" s="1"/>
      <c r="E22" s="1"/>
    </row>
    <row r="23" spans="2:14" x14ac:dyDescent="0.25">
      <c r="D23" s="1"/>
      <c r="E23" s="1"/>
    </row>
    <row r="24" spans="2:14" x14ac:dyDescent="0.25">
      <c r="G24" s="1"/>
    </row>
  </sheetData>
  <sheetProtection selectLockedCells="1"/>
  <mergeCells count="9">
    <mergeCell ref="M5:N5"/>
    <mergeCell ref="G5:H5"/>
    <mergeCell ref="D5:E5"/>
    <mergeCell ref="B5:C9"/>
    <mergeCell ref="B11:C18"/>
    <mergeCell ref="G14:H14"/>
    <mergeCell ref="D11:E11"/>
    <mergeCell ref="J5:K5"/>
    <mergeCell ref="J14:K14"/>
  </mergeCells>
  <hyperlinks>
    <hyperlink ref="D14" r:id="rId1" xr:uid="{8D74DFC1-5F26-4C70-8BE1-21EE886A77DE}"/>
    <hyperlink ref="D6" r:id="rId2" location=":~:text=As%20of%20May%202021%2C%20the,Utah%20coming%20in%20at%20%2414%2C700." display="Installation" xr:uid="{4857B2AF-9314-45D2-8E7C-928A1F0E8997}"/>
  </hyperlinks>
  <pageMargins left="0.7" right="0.7" top="0.75" bottom="0.75" header="0.3" footer="0.3"/>
  <pageSetup orientation="portrait"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1"/>
  <sheetViews>
    <sheetView workbookViewId="0">
      <selection activeCell="X9" sqref="X9"/>
    </sheetView>
  </sheetViews>
  <sheetFormatPr defaultRowHeight="15" x14ac:dyDescent="0.25"/>
  <cols>
    <col min="1" max="1" width="5.85546875" bestFit="1" customWidth="1"/>
    <col min="2" max="2" width="11.140625" bestFit="1" customWidth="1"/>
    <col min="3" max="3" width="7.42578125" bestFit="1" customWidth="1"/>
    <col min="4" max="5" width="8" bestFit="1" customWidth="1"/>
    <col min="6" max="6" width="11" customWidth="1"/>
    <col min="7" max="7" width="12.140625" bestFit="1" customWidth="1"/>
    <col min="8" max="8" width="14" bestFit="1" customWidth="1"/>
    <col min="9" max="9" width="12.7109375" bestFit="1" customWidth="1"/>
    <col min="11" max="11" width="8.5703125" bestFit="1" customWidth="1"/>
    <col min="12" max="12" width="11.42578125" bestFit="1" customWidth="1"/>
    <col min="13" max="13" width="9" bestFit="1" customWidth="1"/>
    <col min="14" max="14" width="9.7109375" bestFit="1" customWidth="1"/>
    <col min="15" max="15" width="9.42578125" bestFit="1" customWidth="1"/>
    <col min="16" max="16" width="2.7109375" customWidth="1"/>
    <col min="17" max="18" width="10.42578125" bestFit="1" customWidth="1"/>
    <col min="19" max="19" width="2.7109375" customWidth="1"/>
    <col min="20" max="20" width="10.42578125" bestFit="1" customWidth="1"/>
    <col min="21" max="21" width="13.28515625" bestFit="1" customWidth="1"/>
    <col min="22" max="22" width="7.28515625" bestFit="1" customWidth="1"/>
  </cols>
  <sheetData>
    <row r="1" spans="1:21" ht="15.75" x14ac:dyDescent="0.25">
      <c r="A1" s="127" t="s">
        <v>61</v>
      </c>
      <c r="B1" s="128"/>
      <c r="C1" s="128"/>
      <c r="D1" s="128"/>
      <c r="E1" s="128"/>
      <c r="F1" s="128"/>
      <c r="G1" s="128"/>
      <c r="H1" s="129" t="s">
        <v>62</v>
      </c>
      <c r="I1" s="130"/>
      <c r="J1" s="131" t="s">
        <v>63</v>
      </c>
      <c r="K1" s="132"/>
      <c r="L1" s="132"/>
      <c r="M1" s="133" t="s">
        <v>64</v>
      </c>
      <c r="N1" s="134"/>
      <c r="O1" s="135"/>
    </row>
    <row r="2" spans="1:21" ht="45" x14ac:dyDescent="0.25">
      <c r="A2" s="13" t="s">
        <v>65</v>
      </c>
      <c r="B2" s="13" t="s">
        <v>36</v>
      </c>
      <c r="C2" s="13" t="s">
        <v>25</v>
      </c>
      <c r="D2" s="13" t="s">
        <v>66</v>
      </c>
      <c r="E2" s="13" t="s">
        <v>67</v>
      </c>
      <c r="F2" s="13" t="s">
        <v>68</v>
      </c>
      <c r="G2" s="13" t="s">
        <v>69</v>
      </c>
      <c r="H2" s="69" t="s">
        <v>70</v>
      </c>
      <c r="I2" s="13" t="s">
        <v>71</v>
      </c>
      <c r="J2" s="69" t="s">
        <v>72</v>
      </c>
      <c r="K2" s="13" t="s">
        <v>73</v>
      </c>
      <c r="L2" s="13" t="s">
        <v>74</v>
      </c>
      <c r="M2" s="69" t="s">
        <v>75</v>
      </c>
      <c r="N2" s="13" t="s">
        <v>76</v>
      </c>
      <c r="O2" s="70" t="s">
        <v>77</v>
      </c>
      <c r="Q2" s="93" t="s">
        <v>78</v>
      </c>
      <c r="R2" s="93" t="s">
        <v>65</v>
      </c>
      <c r="S2" s="13"/>
      <c r="T2" s="93" t="s">
        <v>79</v>
      </c>
      <c r="U2" s="93" t="s">
        <v>65</v>
      </c>
    </row>
    <row r="3" spans="1:21" x14ac:dyDescent="0.25">
      <c r="A3" s="2">
        <v>1</v>
      </c>
      <c r="B3" s="12">
        <f>Input!$H$10*((1-((ROI_Table[[#This Row],[Year]]-1)*Input!$E$18)))</f>
        <v>-344.94927536231887</v>
      </c>
      <c r="C3" s="15">
        <f ca="1">VLOOKUP(SUM(ROI_Table[[#This Row],[Year]],Input!$E$12),Table33[#All],2,FALSE)</f>
        <v>17.709567749999998</v>
      </c>
      <c r="D3" s="16">
        <f ca="1">VLOOKUP(SUM(ROI_Table[[#This Row],[Year]],Input!$E$12),Table33[#All],3,FALSE)</f>
        <v>7.5618514999999997E-2</v>
      </c>
      <c r="E3" s="16">
        <f ca="1">VLOOKUP(SUM(ROI_Table[[#This Row],[Year]],Input!$E$12),Table33[#All],4,FALSE)</f>
        <v>0.10497992749999999</v>
      </c>
      <c r="F3" s="16">
        <f ca="1">VLOOKUP(SUM(ROI_Table[[#This Row],[Year]],Input!$E$12),Table33[#All],5,FALSE)</f>
        <v>0.12455420249999996</v>
      </c>
      <c r="G3" s="17">
        <f ca="1">(SUM(ROI_Table[[#This Row],[Service Charge]],IF(Input!$H$6&lt;Input!$M$10,Input!$H$6*ROI_Table[[#This Row],[Block 1]],IF(Input!$H$6&lt;Input!$M$11,SUM(Input!$M$10*ROI_Table[[#This Row],[Block 1]],(Input!$H$6-Input!$M$10)*ROI_Table[[#This Row],[Block 2]]),SUM(Input!$M$10*ROI_Table[[#This Row],[Block 1]],Input!$M$10*ROI_Table[[#This Row],[Block 2]],(Input!$H$6-Input!$M$11)*ROI_Table[[#This Row],[Block 3]]))))*(1+Input!$N$14))*12</f>
        <v>2415.4746421889995</v>
      </c>
      <c r="H3" s="76">
        <f ca="1">(SUM(ROI_Table[[#This Row],[Service Charge]],Input!$M$8*Input!$N$8,IF(Input!$K$16&lt;Input!$M$10,Input!$K$16*ROI_Table[[#This Row],[Block 1]],IF(Input!$K$16&lt;Input!$M$11,SUM(Input!$M$10*ROI_Table[[#This Row],[Block 1]],(Input!$K$16-Input!$M$10)*ROI_Table[[#This Row],[Block 2]]),SUM(Input!$M$10*ROI_Table[[#This Row],[Block 1]],Input!$M$10*ROI_Table[[#This Row],[Block 2]],(Input!$K$16-Input!$M$11)*ROI_Table[[#This Row],[Block 3]]))))*(1+Input!$N$14))*12</f>
        <v>2269.9111330019996</v>
      </c>
      <c r="I3" s="17">
        <f ca="1">ROI_Table[[#This Row],[Annual Non-Solar Bill]]-ROI_Table[[#This Row],[Annual Shared Solar Bill]]</f>
        <v>145.56350918699991</v>
      </c>
      <c r="J3" s="71">
        <f ca="1">IF(ROI_Table[[#This Row],[Net Solar kWh]]&lt;0,SUM(ROI_Table[[#This Row],[Net Solar kWh]]*-Input!$N$13,IF(Input!$H$7&lt;Input!$M$10,Input!$H$7*ROI_Table[[#This Row],[Block 1]],IF(Input!$H$7&lt;Input!$M$11,SUM(Input!$M$10*ROI_Table[[#This Row],[Block 1]],(Input!$H$7-Input!$M$10)*ROI_Table[[#This Row],[Block 2]]),SUM(Input!$M$10*ROI_Table[[#This Row],[Block 1]],Input!$M$10*ROI_Table[[#This Row],[Block 2]],(Input!$H$7-Input!$M$11)*ROI_Table[[#This Row],[Block 3]])))),IF(SUM(ROI_Table[[#This Row],[Net Solar kWh]],Input!$H$7)&lt;Input!$M$10,SUM(ROI_Table[[#This Row],[Net Solar kWh]],Input!$H$7)*ROI_Table[[#This Row],[Block 1]],IF(SUM(ROI_Table[[#This Row],[Net Solar kWh]],Input!$H$7)&lt;Input!$M$11,SUM(Input!$M$10*ROI_Table[[#This Row],[Block 1]],(SUM(ROI_Table[[#This Row],[Net Solar kWh]],Input!$H$7)-Input!$M$10)*ROI_Table[[#This Row],[Block 2]]),SUM(Input!$M$10*ROI_Table[[#This Row],[Block 1]],Input!$M$10*ROI_Table[[#This Row],[Block 2]],(SUM(ROI_Table[[#This Row],[Net Solar kWh]],Input!$H$7)-Input!$M$11)*ROI_Table[[#This Row],[Block 3]]))))</f>
        <v>98.09825559507243</v>
      </c>
      <c r="K3" s="17">
        <f ca="1">IF(ROI_Table[[#This Row],[Monthly kWh Bill]]&lt;0,((ROI_Table[[#This Row],[Service Charge]]*(1+Input!$N$14))*12),(SUM(ROI_Table[[#This Row],[Service Charge]],ROI_Table[[#This Row],[Monthly kWh Bill]])*(1+Input!$N$14))*12)</f>
        <v>1530.7478089751671</v>
      </c>
      <c r="L3" s="17">
        <f ca="1">ROI_Table[[#This Row],[Annual Non-Solar Bill]]-ROI_Table[[#This Row],[Annual Rooftop Bill]]</f>
        <v>884.72683321383238</v>
      </c>
      <c r="M3" s="76">
        <f ca="1">ROI_Table[[#This Row],[Shared Solar Avoided Cost]]</f>
        <v>145.56350918699991</v>
      </c>
      <c r="N3" s="17">
        <f ca="1">IF(ROI_Table[[#This Row],[Year]]&gt;1,SUM(N2,ROI_Table[[#This Row],[Rooftop Avoided Cost]]),SUM(-Input!$K$9,ROI_Table[[#This Row],[Rooftop Avoided Cost]]))</f>
        <v>-9317.7731667861681</v>
      </c>
      <c r="O3" s="72">
        <f ca="1">IF(ROI_Table[[#This Row],[Year]]&gt;Input!$E$9,SUM(ROI_Table[[#This Row],[Rooftop Avoided Cost]],O2),IF(ROI_Table[[#This Row],[Year]]&gt;1,SUM(ROI_Table[[#This Row],[Rooftop Avoided Cost]],-Input!$K$11,O2),SUM(ROI_Table[[#This Row],[Rooftop Avoided Cost]],-SUM(Input!$K$7:$K$8,Input!$K$10:$K$11))))</f>
        <v>354.9520304344569</v>
      </c>
      <c r="P3" s="6"/>
      <c r="Q3" s="2" t="str">
        <f ca="1">IF(AND(ROI_Table[[#This Row],[Cash ROI]]&gt;1,$N2&lt;1),"Yes","No")</f>
        <v>No</v>
      </c>
      <c r="R3" s="2">
        <f>ROI_Table[[#This Row],[Year]]</f>
        <v>1</v>
      </c>
      <c r="S3" s="2"/>
      <c r="T3" s="2" t="str">
        <f ca="1">IF(AND(ROI_Table[[#This Row],[Financing ROI]]&gt;1,$O2&lt;1),"Yes","No")</f>
        <v>No</v>
      </c>
      <c r="U3" s="2">
        <f>ROI_Table[[#This Row],[Year]]</f>
        <v>1</v>
      </c>
    </row>
    <row r="4" spans="1:21" x14ac:dyDescent="0.25">
      <c r="A4" s="2">
        <v>2</v>
      </c>
      <c r="B4" s="12">
        <f>Input!$H$10*((1-((ROI_Table[[#This Row],[Year]]-1)*Input!$E$18)))</f>
        <v>-342.18968115942033</v>
      </c>
      <c r="C4" s="15">
        <f ca="1">VLOOKUP(SUM(ROI_Table[[#This Row],[Year]],Input!$E$12),Table33[#All],2,FALSE)</f>
        <v>17.975211266249996</v>
      </c>
      <c r="D4" s="16">
        <f ca="1">VLOOKUP(SUM(ROI_Table[[#This Row],[Year]],Input!$E$12),Table33[#All],3,FALSE)</f>
        <v>7.6752792724999991E-2</v>
      </c>
      <c r="E4" s="16">
        <f ca="1">VLOOKUP(SUM(ROI_Table[[#This Row],[Year]],Input!$E$12),Table33[#All],4,FALSE)</f>
        <v>0.10655462641249998</v>
      </c>
      <c r="F4" s="16">
        <f ca="1">VLOOKUP(SUM(ROI_Table[[#This Row],[Year]],Input!$E$12),Table33[#All],5,FALSE)</f>
        <v>0.12642251553749995</v>
      </c>
      <c r="G4" s="17">
        <f ca="1">(SUM(ROI_Table[[#This Row],[Service Charge]],IF(Input!$H$6&lt;Input!$M$10,Input!$H$6*ROI_Table[[#This Row],[Block 1]],IF(Input!$H$6&lt;Input!$M$11,SUM(Input!$M$10*ROI_Table[[#This Row],[Block 1]],(Input!$H$6-Input!$M$10)*ROI_Table[[#This Row],[Block 2]]),SUM(Input!$M$10*ROI_Table[[#This Row],[Block 1]],Input!$M$10*ROI_Table[[#This Row],[Block 2]],(Input!$H$6-Input!$M$11)*ROI_Table[[#This Row],[Block 3]]))))*(1+Input!$N$14))*12</f>
        <v>2451.7067618218343</v>
      </c>
      <c r="H4" s="76">
        <f ca="1">(SUM(ROI_Table[[#This Row],[Service Charge]],Input!$M$8*Input!$N$8,IF(Input!$K$16&lt;Input!$M$10,Input!$K$16*ROI_Table[[#This Row],[Block 1]],IF(Input!$K$16&lt;Input!$M$11,SUM(Input!$M$10*ROI_Table[[#This Row],[Block 1]],(Input!$K$16-Input!$M$10)*ROI_Table[[#This Row],[Block 2]]),SUM(Input!$M$10*ROI_Table[[#This Row],[Block 1]],Input!$M$10*ROI_Table[[#This Row],[Block 2]],(Input!$K$16-Input!$M$11)*ROI_Table[[#This Row],[Block 3]]))))*(1+Input!$N$14))*12</f>
        <v>2291.3260355970297</v>
      </c>
      <c r="I4" s="17">
        <f ca="1">ROI_Table[[#This Row],[Annual Non-Solar Bill]]-ROI_Table[[#This Row],[Annual Shared Solar Bill]]</f>
        <v>160.38072622480468</v>
      </c>
      <c r="J4" s="71">
        <f ca="1">IF(ROI_Table[[#This Row],[Net Solar kWh]]&lt;0,SUM(ROI_Table[[#This Row],[Net Solar kWh]]*-Input!$N$13,IF(Input!$H$7&lt;Input!$M$10,Input!$H$7*ROI_Table[[#This Row],[Block 1]],IF(Input!$H$7&lt;Input!$M$11,SUM(Input!$M$10*ROI_Table[[#This Row],[Block 1]],(Input!$H$7-Input!$M$10)*ROI_Table[[#This Row],[Block 2]]),SUM(Input!$M$10*ROI_Table[[#This Row],[Block 1]],Input!$M$10*ROI_Table[[#This Row],[Block 2]],(Input!$H$7-Input!$M$11)*ROI_Table[[#This Row],[Block 3]])))),IF(SUM(ROI_Table[[#This Row],[Net Solar kWh]],Input!$H$7)&lt;Input!$M$10,SUM(ROI_Table[[#This Row],[Net Solar kWh]],Input!$H$7)*ROI_Table[[#This Row],[Block 1]],IF(SUM(ROI_Table[[#This Row],[Net Solar kWh]],Input!$H$7)&lt;Input!$M$11,SUM(Input!$M$10*ROI_Table[[#This Row],[Block 1]],(SUM(ROI_Table[[#This Row],[Net Solar kWh]],Input!$H$7)-Input!$M$10)*ROI_Table[[#This Row],[Block 2]]),SUM(Input!$M$10*ROI_Table[[#This Row],[Block 1]],Input!$M$10*ROI_Table[[#This Row],[Block 2]],(SUM(ROI_Table[[#This Row],[Net Solar kWh]],Input!$H$7)-Input!$M$11)*ROI_Table[[#This Row],[Block 3]]))))</f>
        <v>100.10462847233185</v>
      </c>
      <c r="K4" s="17">
        <f ca="1">IF(ROI_Table[[#This Row],[Monthly kWh Bill]]&lt;0,((ROI_Table[[#This Row],[Service Charge]]*(1+Input!$N$14))*12),(SUM(ROI_Table[[#This Row],[Service Charge]],ROI_Table[[#This Row],[Monthly kWh Bill]])*(1+Input!$N$14))*12)</f>
        <v>1560.7793216645748</v>
      </c>
      <c r="L4" s="17">
        <f ca="1">ROI_Table[[#This Row],[Annual Non-Solar Bill]]-ROI_Table[[#This Row],[Annual Rooftop Bill]]</f>
        <v>890.92744015725953</v>
      </c>
      <c r="M4" s="76">
        <f ca="1">SUM(M3,ROI_Table[[#This Row],[Shared Solar Avoided Cost]])</f>
        <v>305.94423541180458</v>
      </c>
      <c r="N4" s="17">
        <f ca="1">IF(ROI_Table[[#This Row],[Year]]&gt;1,SUM(N3,ROI_Table[[#This Row],[Rooftop Avoided Cost]]),SUM(-Input!$K$9,ROI_Table[[#This Row],[Rooftop Avoided Cost]]))</f>
        <v>-8426.8457266289079</v>
      </c>
      <c r="O4" s="72">
        <f ca="1">IF(ROI_Table[[#This Row],[Year]]&gt;Input!$E$9,SUM(ROI_Table[[#This Row],[Rooftop Avoided Cost]],O3),IF(ROI_Table[[#This Row],[Year]]&gt;1,SUM(ROI_Table[[#This Row],[Rooftop Avoided Cost]],-Input!$K$11,O3),SUM(ROI_Table[[#This Row],[Rooftop Avoided Cost]],-SUM(Input!$K$7:$K$8,Input!$K$10:$K$11))))</f>
        <v>-1668.8953321876591</v>
      </c>
      <c r="P4" s="6"/>
      <c r="Q4" s="2" t="str">
        <f ca="1">IF(AND(ROI_Table[[#This Row],[Cash ROI]]&gt;1,$N3&lt;1),"Yes","No")</f>
        <v>No</v>
      </c>
      <c r="R4" s="2">
        <f>ROI_Table[[#This Row],[Year]]</f>
        <v>2</v>
      </c>
      <c r="S4" s="2"/>
      <c r="T4" s="2" t="str">
        <f ca="1">IF(AND(ROI_Table[[#This Row],[Financing ROI]]&gt;1,$O3&lt;1),"Yes","No")</f>
        <v>No</v>
      </c>
      <c r="U4" s="2">
        <f>ROI_Table[[#This Row],[Year]]</f>
        <v>2</v>
      </c>
    </row>
    <row r="5" spans="1:21" x14ac:dyDescent="0.25">
      <c r="A5" s="2">
        <v>3</v>
      </c>
      <c r="B5" s="12">
        <f>Input!$H$10*((1-((ROI_Table[[#This Row],[Year]]-1)*Input!$E$18)))</f>
        <v>-339.43008695652179</v>
      </c>
      <c r="C5" s="15">
        <f ca="1">VLOOKUP(SUM(ROI_Table[[#This Row],[Year]],Input!$E$12),Table33[#All],2,FALSE)</f>
        <v>18.244839435243744</v>
      </c>
      <c r="D5" s="16">
        <f ca="1">VLOOKUP(SUM(ROI_Table[[#This Row],[Year]],Input!$E$12),Table33[#All],3,FALSE)</f>
        <v>7.7904084615874988E-2</v>
      </c>
      <c r="E5" s="16">
        <f ca="1">VLOOKUP(SUM(ROI_Table[[#This Row],[Year]],Input!$E$12),Table33[#All],4,FALSE)</f>
        <v>0.10815294580868746</v>
      </c>
      <c r="F5" s="16">
        <f ca="1">VLOOKUP(SUM(ROI_Table[[#This Row],[Year]],Input!$E$12),Table33[#All],5,FALSE)</f>
        <v>0.12831885327056244</v>
      </c>
      <c r="G5" s="17">
        <f ca="1">(SUM(ROI_Table[[#This Row],[Service Charge]],IF(Input!$H$6&lt;Input!$M$10,Input!$H$6*ROI_Table[[#This Row],[Block 1]],IF(Input!$H$6&lt;Input!$M$11,SUM(Input!$M$10*ROI_Table[[#This Row],[Block 1]],(Input!$H$6-Input!$M$10)*ROI_Table[[#This Row],[Block 2]]),SUM(Input!$M$10*ROI_Table[[#This Row],[Block 1]],Input!$M$10*ROI_Table[[#This Row],[Block 2]],(Input!$H$6-Input!$M$11)*ROI_Table[[#This Row],[Block 3]]))))*(1+Input!$N$14))*12</f>
        <v>2488.4823632491612</v>
      </c>
      <c r="H5" s="76">
        <f ca="1">(SUM(ROI_Table[[#This Row],[Service Charge]],Input!$M$8*Input!$N$8,IF(Input!$K$16&lt;Input!$M$10,Input!$K$16*ROI_Table[[#This Row],[Block 1]],IF(Input!$K$16&lt;Input!$M$11,SUM(Input!$M$10*ROI_Table[[#This Row],[Block 1]],(Input!$K$16-Input!$M$10)*ROI_Table[[#This Row],[Block 2]]),SUM(Input!$M$10*ROI_Table[[#This Row],[Block 1]],Input!$M$10*ROI_Table[[#This Row],[Block 2]],(Input!$K$16-Input!$M$11)*ROI_Table[[#This Row],[Block 3]]))))*(1+Input!$N$14))*12</f>
        <v>2313.0621617309853</v>
      </c>
      <c r="I5" s="17">
        <f ca="1">ROI_Table[[#This Row],[Annual Non-Solar Bill]]-ROI_Table[[#This Row],[Annual Shared Solar Bill]]</f>
        <v>175.42020151817587</v>
      </c>
      <c r="J5" s="71">
        <f ca="1">IF(ROI_Table[[#This Row],[Net Solar kWh]]&lt;0,SUM(ROI_Table[[#This Row],[Net Solar kWh]]*-Input!$N$13,IF(Input!$H$7&lt;Input!$M$10,Input!$H$7*ROI_Table[[#This Row],[Block 1]],IF(Input!$H$7&lt;Input!$M$11,SUM(Input!$M$10*ROI_Table[[#This Row],[Block 1]],(Input!$H$7-Input!$M$10)*ROI_Table[[#This Row],[Block 2]]),SUM(Input!$M$10*ROI_Table[[#This Row],[Block 1]],Input!$M$10*ROI_Table[[#This Row],[Block 2]],(Input!$H$7-Input!$M$11)*ROI_Table[[#This Row],[Block 3]])))),IF(SUM(ROI_Table[[#This Row],[Net Solar kWh]],Input!$H$7)&lt;Input!$M$10,SUM(ROI_Table[[#This Row],[Net Solar kWh]],Input!$H$7)*ROI_Table[[#This Row],[Block 1]],IF(SUM(ROI_Table[[#This Row],[Net Solar kWh]],Input!$H$7)&lt;Input!$M$11,SUM(Input!$M$10*ROI_Table[[#This Row],[Block 1]],(SUM(ROI_Table[[#This Row],[Net Solar kWh]],Input!$H$7)-Input!$M$10)*ROI_Table[[#This Row],[Block 2]]),SUM(Input!$M$10*ROI_Table[[#This Row],[Block 1]],Input!$M$10*ROI_Table[[#This Row],[Block 2]],(SUM(ROI_Table[[#This Row],[Net Solar kWh]],Input!$H$7)-Input!$M$11)*ROI_Table[[#This Row],[Block 3]]))))</f>
        <v>102.13830616513276</v>
      </c>
      <c r="K5" s="17">
        <f ca="1">IF(ROI_Table[[#This Row],[Monthly kWh Bill]]&lt;0,((ROI_Table[[#This Row],[Service Charge]]*(1+Input!$N$14))*12),(SUM(ROI_Table[[#This Row],[Service Charge]],ROI_Table[[#This Row],[Monthly kWh Bill]])*(1+Input!$N$14))*12)</f>
        <v>1591.2244185457766</v>
      </c>
      <c r="L5" s="17">
        <f ca="1">ROI_Table[[#This Row],[Annual Non-Solar Bill]]-ROI_Table[[#This Row],[Annual Rooftop Bill]]</f>
        <v>897.25794470338451</v>
      </c>
      <c r="M5" s="76">
        <f ca="1">SUM(M4,ROI_Table[[#This Row],[Shared Solar Avoided Cost]])</f>
        <v>481.36443692998046</v>
      </c>
      <c r="N5" s="17">
        <f ca="1">IF(ROI_Table[[#This Row],[Year]]&gt;1,SUM(N4,ROI_Table[[#This Row],[Rooftop Avoided Cost]]),SUM(-Input!$K$9,ROI_Table[[#This Row],[Rooftop Avoided Cost]]))</f>
        <v>-7529.5877819255238</v>
      </c>
      <c r="O5" s="72">
        <f ca="1">IF(ROI_Table[[#This Row],[Year]]&gt;Input!$E$9,SUM(ROI_Table[[#This Row],[Rooftop Avoided Cost]],O4),IF(ROI_Table[[#This Row],[Year]]&gt;1,SUM(ROI_Table[[#This Row],[Rooftop Avoided Cost]],-Input!$K$11,O4),SUM(ROI_Table[[#This Row],[Rooftop Avoided Cost]],-SUM(Input!$K$7:$K$8,Input!$K$10:$K$11))))</f>
        <v>-3686.4121902636498</v>
      </c>
      <c r="P5" s="6"/>
      <c r="Q5" s="2" t="str">
        <f ca="1">IF(AND(ROI_Table[[#This Row],[Cash ROI]]&gt;1,$N4&lt;1),"Yes","No")</f>
        <v>No</v>
      </c>
      <c r="R5" s="2">
        <f>ROI_Table[[#This Row],[Year]]</f>
        <v>3</v>
      </c>
      <c r="S5" s="2"/>
      <c r="T5" s="2" t="str">
        <f ca="1">IF(AND(ROI_Table[[#This Row],[Financing ROI]]&gt;1,$O4&lt;1),"Yes","No")</f>
        <v>No</v>
      </c>
      <c r="U5" s="2">
        <f>ROI_Table[[#This Row],[Year]]</f>
        <v>3</v>
      </c>
    </row>
    <row r="6" spans="1:21" x14ac:dyDescent="0.25">
      <c r="A6" s="2">
        <v>4</v>
      </c>
      <c r="B6" s="12">
        <f>Input!$H$10*((1-((ROI_Table[[#This Row],[Year]]-1)*Input!$E$18)))</f>
        <v>-336.67049275362319</v>
      </c>
      <c r="C6" s="15">
        <f ca="1">VLOOKUP(SUM(ROI_Table[[#This Row],[Year]],Input!$E$12),Table33[#All],2,FALSE)</f>
        <v>18.518512026772399</v>
      </c>
      <c r="D6" s="16">
        <f ca="1">VLOOKUP(SUM(ROI_Table[[#This Row],[Year]],Input!$E$12),Table33[#All],3,FALSE)</f>
        <v>7.9072645885113105E-2</v>
      </c>
      <c r="E6" s="16">
        <f ca="1">VLOOKUP(SUM(ROI_Table[[#This Row],[Year]],Input!$E$12),Table33[#All],4,FALSE)</f>
        <v>0.10977523999581777</v>
      </c>
      <c r="F6" s="16">
        <f ca="1">VLOOKUP(SUM(ROI_Table[[#This Row],[Year]],Input!$E$12),Table33[#All],5,FALSE)</f>
        <v>0.13024363606962086</v>
      </c>
      <c r="G6" s="17">
        <f ca="1">(SUM(ROI_Table[[#This Row],[Service Charge]],IF(Input!$H$6&lt;Input!$M$10,Input!$H$6*ROI_Table[[#This Row],[Block 1]],IF(Input!$H$6&lt;Input!$M$11,SUM(Input!$M$10*ROI_Table[[#This Row],[Block 1]],(Input!$H$6-Input!$M$10)*ROI_Table[[#This Row],[Block 2]]),SUM(Input!$M$10*ROI_Table[[#This Row],[Block 1]],Input!$M$10*ROI_Table[[#This Row],[Block 2]],(Input!$H$6-Input!$M$11)*ROI_Table[[#This Row],[Block 3]]))))*(1+Input!$N$14))*12</f>
        <v>2525.8095986978983</v>
      </c>
      <c r="H6" s="76">
        <f ca="1">(SUM(ROI_Table[[#This Row],[Service Charge]],Input!$M$8*Input!$N$8,IF(Input!$K$16&lt;Input!$M$10,Input!$K$16*ROI_Table[[#This Row],[Block 1]],IF(Input!$K$16&lt;Input!$M$11,SUM(Input!$M$10*ROI_Table[[#This Row],[Block 1]],(Input!$K$16-Input!$M$10)*ROI_Table[[#This Row],[Block 2]]),SUM(Input!$M$10*ROI_Table[[#This Row],[Block 1]],Input!$M$10*ROI_Table[[#This Row],[Block 2]],(Input!$K$16-Input!$M$11)*ROI_Table[[#This Row],[Block 3]]))))*(1+Input!$N$14))*12</f>
        <v>2335.1243297569499</v>
      </c>
      <c r="I6" s="17">
        <f ca="1">ROI_Table[[#This Row],[Annual Non-Solar Bill]]-ROI_Table[[#This Row],[Annual Shared Solar Bill]]</f>
        <v>190.68526894094839</v>
      </c>
      <c r="J6" s="71">
        <f ca="1">IF(ROI_Table[[#This Row],[Net Solar kWh]]&lt;0,SUM(ROI_Table[[#This Row],[Net Solar kWh]]*-Input!$N$13,IF(Input!$H$7&lt;Input!$M$10,Input!$H$7*ROI_Table[[#This Row],[Block 1]],IF(Input!$H$7&lt;Input!$M$11,SUM(Input!$M$10*ROI_Table[[#This Row],[Block 1]],(Input!$H$7-Input!$M$10)*ROI_Table[[#This Row],[Block 2]]),SUM(Input!$M$10*ROI_Table[[#This Row],[Block 1]],Input!$M$10*ROI_Table[[#This Row],[Block 2]],(Input!$H$7-Input!$M$11)*ROI_Table[[#This Row],[Block 3]])))),IF(SUM(ROI_Table[[#This Row],[Net Solar kWh]],Input!$H$7)&lt;Input!$M$10,SUM(ROI_Table[[#This Row],[Net Solar kWh]],Input!$H$7)*ROI_Table[[#This Row],[Block 1]],IF(SUM(ROI_Table[[#This Row],[Net Solar kWh]],Input!$H$7)&lt;Input!$M$11,SUM(Input!$M$10*ROI_Table[[#This Row],[Block 1]],(SUM(ROI_Table[[#This Row],[Net Solar kWh]],Input!$H$7)-Input!$M$10)*ROI_Table[[#This Row],[Block 2]]),SUM(Input!$M$10*ROI_Table[[#This Row],[Block 1]],Input!$M$10*ROI_Table[[#This Row],[Block 2]],(SUM(ROI_Table[[#This Row],[Net Solar kWh]],Input!$H$7)-Input!$M$11)*ROI_Table[[#This Row],[Block 3]]))))</f>
        <v>104.19969824570829</v>
      </c>
      <c r="K6" s="17">
        <f ca="1">IF(ROI_Table[[#This Row],[Monthly kWh Bill]]&lt;0,((ROI_Table[[#This Row],[Service Charge]]*(1+Input!$N$14))*12),(SUM(ROI_Table[[#This Row],[Service Charge]],ROI_Table[[#This Row],[Monthly kWh Bill]])*(1+Input!$N$14))*12)</f>
        <v>1622.0893033816496</v>
      </c>
      <c r="L6" s="17">
        <f ca="1">ROI_Table[[#This Row],[Annual Non-Solar Bill]]-ROI_Table[[#This Row],[Annual Rooftop Bill]]</f>
        <v>903.72029531624867</v>
      </c>
      <c r="M6" s="76">
        <f ca="1">SUM(M5,ROI_Table[[#This Row],[Shared Solar Avoided Cost]])</f>
        <v>672.04970587092885</v>
      </c>
      <c r="N6" s="17">
        <f ca="1">IF(ROI_Table[[#This Row],[Year]]&gt;1,SUM(N5,ROI_Table[[#This Row],[Rooftop Avoided Cost]]),SUM(-Input!$K$9,ROI_Table[[#This Row],[Rooftop Avoided Cost]]))</f>
        <v>-6625.8674866092751</v>
      </c>
      <c r="O6" s="72">
        <f ca="1">IF(ROI_Table[[#This Row],[Year]]&gt;Input!$E$9,SUM(ROI_Table[[#This Row],[Rooftop Avoided Cost]],O5),IF(ROI_Table[[#This Row],[Year]]&gt;1,SUM(ROI_Table[[#This Row],[Rooftop Avoided Cost]],-Input!$K$11,O5),SUM(ROI_Table[[#This Row],[Rooftop Avoided Cost]],-SUM(Input!$K$7:$K$8,Input!$K$10:$K$11))))</f>
        <v>-5697.4666977267771</v>
      </c>
      <c r="P6" s="6"/>
      <c r="Q6" s="2" t="str">
        <f ca="1">IF(AND(ROI_Table[[#This Row],[Cash ROI]]&gt;1,$N5&lt;1),"Yes","No")</f>
        <v>No</v>
      </c>
      <c r="R6" s="2">
        <f>ROI_Table[[#This Row],[Year]]</f>
        <v>4</v>
      </c>
      <c r="S6" s="2"/>
      <c r="T6" s="2" t="str">
        <f ca="1">IF(AND(ROI_Table[[#This Row],[Financing ROI]]&gt;1,$O5&lt;1),"Yes","No")</f>
        <v>No</v>
      </c>
      <c r="U6" s="2">
        <f>ROI_Table[[#This Row],[Year]]</f>
        <v>4</v>
      </c>
    </row>
    <row r="7" spans="1:21" x14ac:dyDescent="0.25">
      <c r="A7" s="2">
        <v>5</v>
      </c>
      <c r="B7" s="12">
        <f>Input!$H$10*((1-((ROI_Table[[#This Row],[Year]]-1)*Input!$E$18)))</f>
        <v>-333.91089855072465</v>
      </c>
      <c r="C7" s="15">
        <f ca="1">VLOOKUP(SUM(ROI_Table[[#This Row],[Year]],Input!$E$12),Table33[#All],2,FALSE)</f>
        <v>18.796289707173983</v>
      </c>
      <c r="D7" s="16">
        <f ca="1">VLOOKUP(SUM(ROI_Table[[#This Row],[Year]],Input!$E$12),Table33[#All],3,FALSE)</f>
        <v>8.0258735573389792E-2</v>
      </c>
      <c r="E7" s="16">
        <f ca="1">VLOOKUP(SUM(ROI_Table[[#This Row],[Year]],Input!$E$12),Table33[#All],4,FALSE)</f>
        <v>0.11142186859575502</v>
      </c>
      <c r="F7" s="16">
        <f ca="1">VLOOKUP(SUM(ROI_Table[[#This Row],[Year]],Input!$E$12),Table33[#All],5,FALSE)</f>
        <v>0.13219729061066515</v>
      </c>
      <c r="G7" s="17">
        <f ca="1">(SUM(ROI_Table[[#This Row],[Service Charge]],IF(Input!$H$6&lt;Input!$M$10,Input!$H$6*ROI_Table[[#This Row],[Block 1]],IF(Input!$H$6&lt;Input!$M$11,SUM(Input!$M$10*ROI_Table[[#This Row],[Block 1]],(Input!$H$6-Input!$M$10)*ROI_Table[[#This Row],[Block 2]]),SUM(Input!$M$10*ROI_Table[[#This Row],[Block 1]],Input!$M$10*ROI_Table[[#This Row],[Block 2]],(Input!$H$6-Input!$M$11)*ROI_Table[[#This Row],[Block 3]]))))*(1+Input!$N$14))*12</f>
        <v>2563.6967426783667</v>
      </c>
      <c r="H7" s="76">
        <f ca="1">(SUM(ROI_Table[[#This Row],[Service Charge]],Input!$M$8*Input!$N$8,IF(Input!$K$16&lt;Input!$M$10,Input!$K$16*ROI_Table[[#This Row],[Block 1]],IF(Input!$K$16&lt;Input!$M$11,SUM(Input!$M$10*ROI_Table[[#This Row],[Block 1]],(Input!$K$16-Input!$M$10)*ROI_Table[[#This Row],[Block 2]]),SUM(Input!$M$10*ROI_Table[[#This Row],[Block 1]],Input!$M$10*ROI_Table[[#This Row],[Block 2]],(Input!$K$16-Input!$M$11)*ROI_Table[[#This Row],[Block 3]]))))*(1+Input!$N$14))*12</f>
        <v>2357.5174303033036</v>
      </c>
      <c r="I7" s="17">
        <f ca="1">ROI_Table[[#This Row],[Annual Non-Solar Bill]]-ROI_Table[[#This Row],[Annual Shared Solar Bill]]</f>
        <v>206.17931237506309</v>
      </c>
      <c r="J7" s="71">
        <f ca="1">IF(ROI_Table[[#This Row],[Net Solar kWh]]&lt;0,SUM(ROI_Table[[#This Row],[Net Solar kWh]]*-Input!$N$13,IF(Input!$H$7&lt;Input!$M$10,Input!$H$7*ROI_Table[[#This Row],[Block 1]],IF(Input!$H$7&lt;Input!$M$11,SUM(Input!$M$10*ROI_Table[[#This Row],[Block 1]],(Input!$H$7-Input!$M$10)*ROI_Table[[#This Row],[Block 2]]),SUM(Input!$M$10*ROI_Table[[#This Row],[Block 1]],Input!$M$10*ROI_Table[[#This Row],[Block 2]],(Input!$H$7-Input!$M$11)*ROI_Table[[#This Row],[Block 3]])))),IF(SUM(ROI_Table[[#This Row],[Net Solar kWh]],Input!$H$7)&lt;Input!$M$10,SUM(ROI_Table[[#This Row],[Net Solar kWh]],Input!$H$7)*ROI_Table[[#This Row],[Block 1]],IF(SUM(ROI_Table[[#This Row],[Net Solar kWh]],Input!$H$7)&lt;Input!$M$11,SUM(Input!$M$10*ROI_Table[[#This Row],[Block 1]],(SUM(ROI_Table[[#This Row],[Net Solar kWh]],Input!$H$7)-Input!$M$10)*ROI_Table[[#This Row],[Block 2]]),SUM(Input!$M$10*ROI_Table[[#This Row],[Block 1]],Input!$M$10*ROI_Table[[#This Row],[Block 2]],(SUM(ROI_Table[[#This Row],[Net Solar kWh]],Input!$H$7)-Input!$M$11)*ROI_Table[[#This Row],[Block 3]]))))</f>
        <v>106.28922042987503</v>
      </c>
      <c r="K7" s="17">
        <f ca="1">IF(ROI_Table[[#This Row],[Monthly kWh Bill]]&lt;0,((ROI_Table[[#This Row],[Service Charge]]*(1+Input!$N$14))*12),(SUM(ROI_Table[[#This Row],[Service Charge]],ROI_Table[[#This Row],[Monthly kWh Bill]])*(1+Input!$N$14))*12)</f>
        <v>1653.3802729915137</v>
      </c>
      <c r="L7" s="17">
        <f ca="1">ROI_Table[[#This Row],[Annual Non-Solar Bill]]-ROI_Table[[#This Row],[Annual Rooftop Bill]]</f>
        <v>910.316469686853</v>
      </c>
      <c r="M7" s="76">
        <f ca="1">SUM(M6,ROI_Table[[#This Row],[Shared Solar Avoided Cost]])</f>
        <v>878.22901824599194</v>
      </c>
      <c r="N7" s="17">
        <f ca="1">IF(ROI_Table[[#This Row],[Year]]&gt;1,SUM(N6,ROI_Table[[#This Row],[Rooftop Avoided Cost]]),SUM(-Input!$K$9,ROI_Table[[#This Row],[Rooftop Avoided Cost]]))</f>
        <v>-5715.5510169224217</v>
      </c>
      <c r="O7" s="72">
        <f ca="1">IF(ROI_Table[[#This Row],[Year]]&gt;Input!$E$9,SUM(ROI_Table[[#This Row],[Rooftop Avoided Cost]],O6),IF(ROI_Table[[#This Row],[Year]]&gt;1,SUM(ROI_Table[[#This Row],[Rooftop Avoided Cost]],-Input!$K$11,O6),SUM(ROI_Table[[#This Row],[Rooftop Avoided Cost]],-SUM(Input!$K$7:$K$8,Input!$K$10:$K$11))))</f>
        <v>-7701.9250308192995</v>
      </c>
      <c r="P7" s="6"/>
      <c r="Q7" s="2" t="str">
        <f ca="1">IF(AND(ROI_Table[[#This Row],[Cash ROI]]&gt;1,$N6&lt;1),"Yes","No")</f>
        <v>No</v>
      </c>
      <c r="R7" s="2">
        <f>ROI_Table[[#This Row],[Year]]</f>
        <v>5</v>
      </c>
      <c r="S7" s="2"/>
      <c r="T7" s="2" t="str">
        <f ca="1">IF(AND(ROI_Table[[#This Row],[Financing ROI]]&gt;1,$O6&lt;1),"Yes","No")</f>
        <v>No</v>
      </c>
      <c r="U7" s="2">
        <f>ROI_Table[[#This Row],[Year]]</f>
        <v>5</v>
      </c>
    </row>
    <row r="8" spans="1:21" x14ac:dyDescent="0.25">
      <c r="A8" s="2">
        <v>6</v>
      </c>
      <c r="B8" s="12">
        <f>Input!$H$10*((1-((ROI_Table[[#This Row],[Year]]-1)*Input!$E$18)))</f>
        <v>-331.15130434782611</v>
      </c>
      <c r="C8" s="15">
        <f ca="1">VLOOKUP(SUM(ROI_Table[[#This Row],[Year]],Input!$E$12),Table33[#All],2,FALSE)</f>
        <v>19.078234052781593</v>
      </c>
      <c r="D8" s="16">
        <f ca="1">VLOOKUP(SUM(ROI_Table[[#This Row],[Year]],Input!$E$12),Table33[#All],3,FALSE)</f>
        <v>8.1462616606990626E-2</v>
      </c>
      <c r="E8" s="16">
        <f ca="1">VLOOKUP(SUM(ROI_Table[[#This Row],[Year]],Input!$E$12),Table33[#All],4,FALSE)</f>
        <v>0.11309319662469133</v>
      </c>
      <c r="F8" s="16">
        <f ca="1">VLOOKUP(SUM(ROI_Table[[#This Row],[Year]],Input!$E$12),Table33[#All],5,FALSE)</f>
        <v>0.13418024996982511</v>
      </c>
      <c r="G8" s="17">
        <f ca="1">(SUM(ROI_Table[[#This Row],[Service Charge]],IF(Input!$H$6&lt;Input!$M$10,Input!$H$6*ROI_Table[[#This Row],[Block 1]],IF(Input!$H$6&lt;Input!$M$11,SUM(Input!$M$10*ROI_Table[[#This Row],[Block 1]],(Input!$H$6-Input!$M$10)*ROI_Table[[#This Row],[Block 2]]),SUM(Input!$M$10*ROI_Table[[#This Row],[Block 1]],Input!$M$10*ROI_Table[[#This Row],[Block 2]],(Input!$H$6-Input!$M$11)*ROI_Table[[#This Row],[Block 3]]))))*(1+Input!$N$14))*12</f>
        <v>2602.1521938185415</v>
      </c>
      <c r="H8" s="76">
        <f ca="1">(SUM(ROI_Table[[#This Row],[Service Charge]],Input!$M$8*Input!$N$8,IF(Input!$K$16&lt;Input!$M$10,Input!$K$16*ROI_Table[[#This Row],[Block 1]],IF(Input!$K$16&lt;Input!$M$11,SUM(Input!$M$10*ROI_Table[[#This Row],[Block 1]],(Input!$K$16-Input!$M$10)*ROI_Table[[#This Row],[Block 2]]),SUM(Input!$M$10*ROI_Table[[#This Row],[Block 1]],Input!$M$10*ROI_Table[[#This Row],[Block 2]],(Input!$K$16-Input!$M$11)*ROI_Table[[#This Row],[Block 3]]))))*(1+Input!$N$14))*12</f>
        <v>2380.246427357853</v>
      </c>
      <c r="I8" s="17">
        <f ca="1">ROI_Table[[#This Row],[Annual Non-Solar Bill]]-ROI_Table[[#This Row],[Annual Shared Solar Bill]]</f>
        <v>221.90576646068848</v>
      </c>
      <c r="J8" s="71">
        <f ca="1">IF(ROI_Table[[#This Row],[Net Solar kWh]]&lt;0,SUM(ROI_Table[[#This Row],[Net Solar kWh]]*-Input!$N$13,IF(Input!$H$7&lt;Input!$M$10,Input!$H$7*ROI_Table[[#This Row],[Block 1]],IF(Input!$H$7&lt;Input!$M$11,SUM(Input!$M$10*ROI_Table[[#This Row],[Block 1]],(Input!$H$7-Input!$M$10)*ROI_Table[[#This Row],[Block 2]]),SUM(Input!$M$10*ROI_Table[[#This Row],[Block 1]],Input!$M$10*ROI_Table[[#This Row],[Block 2]],(Input!$H$7-Input!$M$11)*ROI_Table[[#This Row],[Block 3]])))),IF(SUM(ROI_Table[[#This Row],[Net Solar kWh]],Input!$H$7)&lt;Input!$M$10,SUM(ROI_Table[[#This Row],[Net Solar kWh]],Input!$H$7)*ROI_Table[[#This Row],[Block 1]],IF(SUM(ROI_Table[[#This Row],[Net Solar kWh]],Input!$H$7)&lt;Input!$M$11,SUM(Input!$M$10*ROI_Table[[#This Row],[Block 1]],(SUM(ROI_Table[[#This Row],[Net Solar kWh]],Input!$H$7)-Input!$M$10)*ROI_Table[[#This Row],[Block 2]]),SUM(Input!$M$10*ROI_Table[[#This Row],[Block 1]],Input!$M$10*ROI_Table[[#This Row],[Block 2]],(SUM(ROI_Table[[#This Row],[Net Solar kWh]],Input!$H$7)-Input!$M$11)*ROI_Table[[#This Row],[Block 3]]))))</f>
        <v>108.40729466918692</v>
      </c>
      <c r="K8" s="17">
        <f ca="1">IF(ROI_Table[[#This Row],[Monthly kWh Bill]]&lt;0,((ROI_Table[[#This Row],[Service Charge]]*(1+Input!$N$14))*12),(SUM(ROI_Table[[#This Row],[Service Charge]],ROI_Table[[#This Row],[Monthly kWh Bill]])*(1+Input!$N$14))*12)</f>
        <v>1685.1037186469798</v>
      </c>
      <c r="L8" s="17">
        <f ca="1">ROI_Table[[#This Row],[Annual Non-Solar Bill]]-ROI_Table[[#This Row],[Annual Rooftop Bill]]</f>
        <v>917.04847517156168</v>
      </c>
      <c r="M8" s="76">
        <f ca="1">SUM(M7,ROI_Table[[#This Row],[Shared Solar Avoided Cost]])</f>
        <v>1100.1347847066804</v>
      </c>
      <c r="N8" s="17">
        <f ca="1">IF(ROI_Table[[#This Row],[Year]]&gt;1,SUM(N7,ROI_Table[[#This Row],[Rooftop Avoided Cost]]),SUM(-Input!$K$9,ROI_Table[[#This Row],[Rooftop Avoided Cost]]))</f>
        <v>-4798.5025417508605</v>
      </c>
      <c r="O8" s="72">
        <f ca="1">IF(ROI_Table[[#This Row],[Year]]&gt;Input!$E$9,SUM(ROI_Table[[#This Row],[Rooftop Avoided Cost]],O7),IF(ROI_Table[[#This Row],[Year]]&gt;1,SUM(ROI_Table[[#This Row],[Rooftop Avoided Cost]],-Input!$K$11,O7),SUM(ROI_Table[[#This Row],[Rooftop Avoided Cost]],-SUM(Input!$K$7:$K$8,Input!$K$10:$K$11))))</f>
        <v>-9699.6513584271124</v>
      </c>
      <c r="P8" s="6"/>
      <c r="Q8" s="2" t="str">
        <f ca="1">IF(AND(ROI_Table[[#This Row],[Cash ROI]]&gt;1,$N7&lt;1),"Yes","No")</f>
        <v>No</v>
      </c>
      <c r="R8" s="2">
        <f>ROI_Table[[#This Row],[Year]]</f>
        <v>6</v>
      </c>
      <c r="S8" s="2"/>
      <c r="T8" s="2" t="str">
        <f ca="1">IF(AND(ROI_Table[[#This Row],[Financing ROI]]&gt;1,$O7&lt;1),"Yes","No")</f>
        <v>No</v>
      </c>
      <c r="U8" s="2">
        <f>ROI_Table[[#This Row],[Year]]</f>
        <v>6</v>
      </c>
    </row>
    <row r="9" spans="1:21" x14ac:dyDescent="0.25">
      <c r="A9" s="2">
        <v>7</v>
      </c>
      <c r="B9" s="12">
        <f>Input!$H$10*((1-((ROI_Table[[#This Row],[Year]]-1)*Input!$E$18)))</f>
        <v>-328.39171014492757</v>
      </c>
      <c r="C9" s="15">
        <f ca="1">VLOOKUP(SUM(ROI_Table[[#This Row],[Year]],Input!$E$12),Table33[#All],2,FALSE)</f>
        <v>19.364407563573316</v>
      </c>
      <c r="D9" s="16">
        <f ca="1">VLOOKUP(SUM(ROI_Table[[#This Row],[Year]],Input!$E$12),Table33[#All],3,FALSE)</f>
        <v>8.2684555856095479E-2</v>
      </c>
      <c r="E9" s="16">
        <f ca="1">VLOOKUP(SUM(ROI_Table[[#This Row],[Year]],Input!$E$12),Table33[#All],4,FALSE)</f>
        <v>0.1147895945740617</v>
      </c>
      <c r="F9" s="16">
        <f ca="1">VLOOKUP(SUM(ROI_Table[[#This Row],[Year]],Input!$E$12),Table33[#All],5,FALSE)</f>
        <v>0.13619295371937248</v>
      </c>
      <c r="G9" s="17">
        <f ca="1">(SUM(ROI_Table[[#This Row],[Service Charge]],IF(Input!$H$6&lt;Input!$M$10,Input!$H$6*ROI_Table[[#This Row],[Block 1]],IF(Input!$H$6&lt;Input!$M$11,SUM(Input!$M$10*ROI_Table[[#This Row],[Block 1]],(Input!$H$6-Input!$M$10)*ROI_Table[[#This Row],[Block 2]]),SUM(Input!$M$10*ROI_Table[[#This Row],[Block 1]],Input!$M$10*ROI_Table[[#This Row],[Block 2]],(Input!$H$6-Input!$M$11)*ROI_Table[[#This Row],[Block 3]]))))*(1+Input!$N$14))*12</f>
        <v>2641.1844767258199</v>
      </c>
      <c r="H9" s="76">
        <f ca="1">(SUM(ROI_Table[[#This Row],[Service Charge]],Input!$M$8*Input!$N$8,IF(Input!$K$16&lt;Input!$M$10,Input!$K$16*ROI_Table[[#This Row],[Block 1]],IF(Input!$K$16&lt;Input!$M$11,SUM(Input!$M$10*ROI_Table[[#This Row],[Block 1]],(Input!$K$16-Input!$M$10)*ROI_Table[[#This Row],[Block 2]]),SUM(Input!$M$10*ROI_Table[[#This Row],[Block 1]],Input!$M$10*ROI_Table[[#This Row],[Block 2]],(Input!$K$16-Input!$M$11)*ROI_Table[[#This Row],[Block 3]]))))*(1+Input!$N$14))*12</f>
        <v>2403.3163593682207</v>
      </c>
      <c r="I9" s="17">
        <f ca="1">ROI_Table[[#This Row],[Annual Non-Solar Bill]]-ROI_Table[[#This Row],[Annual Shared Solar Bill]]</f>
        <v>237.8681173575992</v>
      </c>
      <c r="J9" s="71">
        <f ca="1">IF(ROI_Table[[#This Row],[Net Solar kWh]]&lt;0,SUM(ROI_Table[[#This Row],[Net Solar kWh]]*-Input!$N$13,IF(Input!$H$7&lt;Input!$M$10,Input!$H$7*ROI_Table[[#This Row],[Block 1]],IF(Input!$H$7&lt;Input!$M$11,SUM(Input!$M$10*ROI_Table[[#This Row],[Block 1]],(Input!$H$7-Input!$M$10)*ROI_Table[[#This Row],[Block 2]]),SUM(Input!$M$10*ROI_Table[[#This Row],[Block 1]],Input!$M$10*ROI_Table[[#This Row],[Block 2]],(Input!$H$7-Input!$M$11)*ROI_Table[[#This Row],[Block 3]])))),IF(SUM(ROI_Table[[#This Row],[Net Solar kWh]],Input!$H$7)&lt;Input!$M$10,SUM(ROI_Table[[#This Row],[Net Solar kWh]],Input!$H$7)*ROI_Table[[#This Row],[Block 1]],IF(SUM(ROI_Table[[#This Row],[Net Solar kWh]],Input!$H$7)&lt;Input!$M$11,SUM(Input!$M$10*ROI_Table[[#This Row],[Block 1]],(SUM(ROI_Table[[#This Row],[Net Solar kWh]],Input!$H$7)-Input!$M$10)*ROI_Table[[#This Row],[Block 2]]),SUM(Input!$M$10*ROI_Table[[#This Row],[Block 1]],Input!$M$10*ROI_Table[[#This Row],[Block 2]],(SUM(ROI_Table[[#This Row],[Net Solar kWh]],Input!$H$7)-Input!$M$11)*ROI_Table[[#This Row],[Block 3]]))))</f>
        <v>110.5543492444711</v>
      </c>
      <c r="K9" s="17">
        <f ca="1">IF(ROI_Table[[#This Row],[Monthly kWh Bill]]&lt;0,((ROI_Table[[#This Row],[Service Charge]]*(1+Input!$N$14))*12),(SUM(ROI_Table[[#This Row],[Service Charge]],ROI_Table[[#This Row],[Monthly kWh Bill]])*(1+Input!$N$14))*12)</f>
        <v>1717.2661274887309</v>
      </c>
      <c r="L9" s="17">
        <f ca="1">ROI_Table[[#This Row],[Annual Non-Solar Bill]]-ROI_Table[[#This Row],[Annual Rooftop Bill]]</f>
        <v>923.91834923708893</v>
      </c>
      <c r="M9" s="76">
        <f ca="1">SUM(M8,ROI_Table[[#This Row],[Shared Solar Avoided Cost]])</f>
        <v>1338.0029020642796</v>
      </c>
      <c r="N9" s="17">
        <f ca="1">IF(ROI_Table[[#This Row],[Year]]&gt;1,SUM(N8,ROI_Table[[#This Row],[Rooftop Avoided Cost]]),SUM(-Input!$K$9,ROI_Table[[#This Row],[Rooftop Avoided Cost]]))</f>
        <v>-3874.5841925137715</v>
      </c>
      <c r="O9" s="72">
        <f ca="1">IF(ROI_Table[[#This Row],[Year]]&gt;Input!$E$9,SUM(ROI_Table[[#This Row],[Rooftop Avoided Cost]],O8),IF(ROI_Table[[#This Row],[Year]]&gt;1,SUM(ROI_Table[[#This Row],[Rooftop Avoided Cost]],-Input!$K$11,O8),SUM(ROI_Table[[#This Row],[Rooftop Avoided Cost]],-SUM(Input!$K$7:$K$8,Input!$K$10:$K$11))))</f>
        <v>-11690.507811969399</v>
      </c>
      <c r="P9" s="6"/>
      <c r="Q9" s="2" t="str">
        <f ca="1">IF(AND(ROI_Table[[#This Row],[Cash ROI]]&gt;1,$N8&lt;1),"Yes","No")</f>
        <v>No</v>
      </c>
      <c r="R9" s="2">
        <f>ROI_Table[[#This Row],[Year]]</f>
        <v>7</v>
      </c>
      <c r="S9" s="2"/>
      <c r="T9" s="2" t="str">
        <f ca="1">IF(AND(ROI_Table[[#This Row],[Financing ROI]]&gt;1,$O8&lt;1),"Yes","No")</f>
        <v>No</v>
      </c>
      <c r="U9" s="2">
        <f>ROI_Table[[#This Row],[Year]]</f>
        <v>7</v>
      </c>
    </row>
    <row r="10" spans="1:21" x14ac:dyDescent="0.25">
      <c r="A10" s="2">
        <v>8</v>
      </c>
      <c r="B10" s="12">
        <f>Input!$H$10*((1-((ROI_Table[[#This Row],[Year]]-1)*Input!$E$18)))</f>
        <v>-325.63211594202897</v>
      </c>
      <c r="C10" s="15">
        <f ca="1">VLOOKUP(SUM(ROI_Table[[#This Row],[Year]],Input!$E$12),Table33[#All],2,FALSE)</f>
        <v>19.654873677026913</v>
      </c>
      <c r="D10" s="16">
        <f ca="1">VLOOKUP(SUM(ROI_Table[[#This Row],[Year]],Input!$E$12),Table33[#All],3,FALSE)</f>
        <v>8.3924824193936903E-2</v>
      </c>
      <c r="E10" s="16">
        <f ca="1">VLOOKUP(SUM(ROI_Table[[#This Row],[Year]],Input!$E$12),Table33[#All],4,FALSE)</f>
        <v>0.11651143849267261</v>
      </c>
      <c r="F10" s="16">
        <f ca="1">VLOOKUP(SUM(ROI_Table[[#This Row],[Year]],Input!$E$12),Table33[#All],5,FALSE)</f>
        <v>0.13823584802516306</v>
      </c>
      <c r="G10" s="17">
        <f ca="1">(SUM(ROI_Table[[#This Row],[Service Charge]],IF(Input!$H$6&lt;Input!$M$10,Input!$H$6*ROI_Table[[#This Row],[Block 1]],IF(Input!$H$6&lt;Input!$M$11,SUM(Input!$M$10*ROI_Table[[#This Row],[Block 1]],(Input!$H$6-Input!$M$10)*ROI_Table[[#This Row],[Block 2]]),SUM(Input!$M$10*ROI_Table[[#This Row],[Block 1]],Input!$M$10*ROI_Table[[#This Row],[Block 2]],(Input!$H$6-Input!$M$11)*ROI_Table[[#This Row],[Block 3]]))))*(1+Input!$N$14))*12</f>
        <v>2680.8022438767066</v>
      </c>
      <c r="H10" s="76">
        <f ca="1">(SUM(ROI_Table[[#This Row],[Service Charge]],Input!$M$8*Input!$N$8,IF(Input!$K$16&lt;Input!$M$10,Input!$K$16*ROI_Table[[#This Row],[Block 1]],IF(Input!$K$16&lt;Input!$M$11,SUM(Input!$M$10*ROI_Table[[#This Row],[Block 1]],(Input!$K$16-Input!$M$10)*ROI_Table[[#This Row],[Block 2]]),SUM(Input!$M$10*ROI_Table[[#This Row],[Block 1]],Input!$M$10*ROI_Table[[#This Row],[Block 2]],(Input!$K$16-Input!$M$11)*ROI_Table[[#This Row],[Block 3]]))))*(1+Input!$N$14))*12</f>
        <v>2426.7323403587434</v>
      </c>
      <c r="I10" s="17">
        <f ca="1">ROI_Table[[#This Row],[Annual Non-Solar Bill]]-ROI_Table[[#This Row],[Annual Shared Solar Bill]]</f>
        <v>254.06990351796321</v>
      </c>
      <c r="J10" s="71">
        <f ca="1">IF(ROI_Table[[#This Row],[Net Solar kWh]]&lt;0,SUM(ROI_Table[[#This Row],[Net Solar kWh]]*-Input!$N$13,IF(Input!$H$7&lt;Input!$M$10,Input!$H$7*ROI_Table[[#This Row],[Block 1]],IF(Input!$H$7&lt;Input!$M$11,SUM(Input!$M$10*ROI_Table[[#This Row],[Block 1]],(Input!$H$7-Input!$M$10)*ROI_Table[[#This Row],[Block 2]]),SUM(Input!$M$10*ROI_Table[[#This Row],[Block 1]],Input!$M$10*ROI_Table[[#This Row],[Block 2]],(Input!$H$7-Input!$M$11)*ROI_Table[[#This Row],[Block 3]])))),IF(SUM(ROI_Table[[#This Row],[Net Solar kWh]],Input!$H$7)&lt;Input!$M$10,SUM(ROI_Table[[#This Row],[Net Solar kWh]],Input!$H$7)*ROI_Table[[#This Row],[Block 1]],IF(SUM(ROI_Table[[#This Row],[Net Solar kWh]],Input!$H$7)&lt;Input!$M$11,SUM(Input!$M$10*ROI_Table[[#This Row],[Block 1]],(SUM(ROI_Table[[#This Row],[Net Solar kWh]],Input!$H$7)-Input!$M$10)*ROI_Table[[#This Row],[Block 2]]),SUM(Input!$M$10*ROI_Table[[#This Row],[Block 1]],Input!$M$10*ROI_Table[[#This Row],[Block 2]],(SUM(ROI_Table[[#This Row],[Net Solar kWh]],Input!$H$7)-Input!$M$11)*ROI_Table[[#This Row],[Block 3]]))))</f>
        <v>112.73081886076713</v>
      </c>
      <c r="K10" s="17">
        <f ca="1">IF(ROI_Table[[#This Row],[Monthly kWh Bill]]&lt;0,((ROI_Table[[#This Row],[Service Charge]]*(1+Input!$N$14))*12),(SUM(ROI_Table[[#This Row],[Service Charge]],ROI_Table[[#This Row],[Monthly kWh Bill]])*(1+Input!$N$14))*12)</f>
        <v>1749.8740839645616</v>
      </c>
      <c r="L10" s="17">
        <f ca="1">ROI_Table[[#This Row],[Annual Non-Solar Bill]]-ROI_Table[[#This Row],[Annual Rooftop Bill]]</f>
        <v>930.92815991214502</v>
      </c>
      <c r="M10" s="76">
        <f ca="1">SUM(M9,ROI_Table[[#This Row],[Shared Solar Avoided Cost]])</f>
        <v>1592.0728055822428</v>
      </c>
      <c r="N10" s="17">
        <f ca="1">IF(ROI_Table[[#This Row],[Year]]&gt;1,SUM(N9,ROI_Table[[#This Row],[Rooftop Avoided Cost]]),SUM(-Input!$K$9,ROI_Table[[#This Row],[Rooftop Avoided Cost]]))</f>
        <v>-2943.6560326016265</v>
      </c>
      <c r="O10" s="72">
        <f ca="1">IF(ROI_Table[[#This Row],[Year]]&gt;Input!$E$9,SUM(ROI_Table[[#This Row],[Rooftop Avoided Cost]],O9),IF(ROI_Table[[#This Row],[Year]]&gt;1,SUM(ROI_Table[[#This Row],[Rooftop Avoided Cost]],-Input!$K$11,O9),SUM(ROI_Table[[#This Row],[Rooftop Avoided Cost]],-SUM(Input!$K$7:$K$8,Input!$K$10:$K$11))))</f>
        <v>-10759.579652057255</v>
      </c>
      <c r="P10" s="6"/>
      <c r="Q10" s="2" t="str">
        <f ca="1">IF(AND(ROI_Table[[#This Row],[Cash ROI]]&gt;1,$N9&lt;1),"Yes","No")</f>
        <v>No</v>
      </c>
      <c r="R10" s="2">
        <f>ROI_Table[[#This Row],[Year]]</f>
        <v>8</v>
      </c>
      <c r="S10" s="2"/>
      <c r="T10" s="2" t="str">
        <f ca="1">IF(AND(ROI_Table[[#This Row],[Financing ROI]]&gt;1,$O9&lt;1),"Yes","No")</f>
        <v>No</v>
      </c>
      <c r="U10" s="2">
        <f>ROI_Table[[#This Row],[Year]]</f>
        <v>8</v>
      </c>
    </row>
    <row r="11" spans="1:21" x14ac:dyDescent="0.25">
      <c r="A11" s="2">
        <v>9</v>
      </c>
      <c r="B11" s="12">
        <f>Input!$H$10*((1-((ROI_Table[[#This Row],[Year]]-1)*Input!$E$18)))</f>
        <v>-322.87252173913043</v>
      </c>
      <c r="C11" s="15">
        <f ca="1">VLOOKUP(SUM(ROI_Table[[#This Row],[Year]],Input!$E$12),Table33[#All],2,FALSE)</f>
        <v>19.949696782182315</v>
      </c>
      <c r="D11" s="16">
        <f ca="1">VLOOKUP(SUM(ROI_Table[[#This Row],[Year]],Input!$E$12),Table33[#All],3,FALSE)</f>
        <v>8.5183696556845948E-2</v>
      </c>
      <c r="E11" s="16">
        <f ca="1">VLOOKUP(SUM(ROI_Table[[#This Row],[Year]],Input!$E$12),Table33[#All],4,FALSE)</f>
        <v>0.11825911007006268</v>
      </c>
      <c r="F11" s="16">
        <f ca="1">VLOOKUP(SUM(ROI_Table[[#This Row],[Year]],Input!$E$12),Table33[#All],5,FALSE)</f>
        <v>0.1403093857455405</v>
      </c>
      <c r="G11" s="17">
        <f ca="1">(SUM(ROI_Table[[#This Row],[Service Charge]],IF(Input!$H$6&lt;Input!$M$10,Input!$H$6*ROI_Table[[#This Row],[Block 1]],IF(Input!$H$6&lt;Input!$M$11,SUM(Input!$M$10*ROI_Table[[#This Row],[Block 1]],(Input!$H$6-Input!$M$10)*ROI_Table[[#This Row],[Block 2]]),SUM(Input!$M$10*ROI_Table[[#This Row],[Block 1]],Input!$M$10*ROI_Table[[#This Row],[Block 2]],(Input!$H$6-Input!$M$11)*ROI_Table[[#This Row],[Block 3]]))))*(1+Input!$N$14))*12</f>
        <v>2721.0142775348577</v>
      </c>
      <c r="H11" s="76">
        <f ca="1">(SUM(ROI_Table[[#This Row],[Service Charge]],Input!$M$8*Input!$N$8,IF(Input!$K$16&lt;Input!$M$10,Input!$K$16*ROI_Table[[#This Row],[Block 1]],IF(Input!$K$16&lt;Input!$M$11,SUM(Input!$M$10*ROI_Table[[#This Row],[Block 1]],(Input!$K$16-Input!$M$10)*ROI_Table[[#This Row],[Block 2]]),SUM(Input!$M$10*ROI_Table[[#This Row],[Block 1]],Input!$M$10*ROI_Table[[#This Row],[Block 2]],(Input!$K$16-Input!$M$11)*ROI_Table[[#This Row],[Block 3]]))))*(1+Input!$N$14))*12</f>
        <v>2450.4995610641245</v>
      </c>
      <c r="I11" s="17">
        <f ca="1">ROI_Table[[#This Row],[Annual Non-Solar Bill]]-ROI_Table[[#This Row],[Annual Shared Solar Bill]]</f>
        <v>270.51471647073322</v>
      </c>
      <c r="J11" s="71">
        <f ca="1">IF(ROI_Table[[#This Row],[Net Solar kWh]]&lt;0,SUM(ROI_Table[[#This Row],[Net Solar kWh]]*-Input!$N$13,IF(Input!$H$7&lt;Input!$M$10,Input!$H$7*ROI_Table[[#This Row],[Block 1]],IF(Input!$H$7&lt;Input!$M$11,SUM(Input!$M$10*ROI_Table[[#This Row],[Block 1]],(Input!$H$7-Input!$M$10)*ROI_Table[[#This Row],[Block 2]]),SUM(Input!$M$10*ROI_Table[[#This Row],[Block 1]],Input!$M$10*ROI_Table[[#This Row],[Block 2]],(Input!$H$7-Input!$M$11)*ROI_Table[[#This Row],[Block 3]])))),IF(SUM(ROI_Table[[#This Row],[Net Solar kWh]],Input!$H$7)&lt;Input!$M$10,SUM(ROI_Table[[#This Row],[Net Solar kWh]],Input!$H$7)*ROI_Table[[#This Row],[Block 1]],IF(SUM(ROI_Table[[#This Row],[Net Solar kWh]],Input!$H$7)&lt;Input!$M$11,SUM(Input!$M$10*ROI_Table[[#This Row],[Block 1]],(SUM(ROI_Table[[#This Row],[Net Solar kWh]],Input!$H$7)-Input!$M$10)*ROI_Table[[#This Row],[Block 2]]),SUM(Input!$M$10*ROI_Table[[#This Row],[Block 1]],Input!$M$10*ROI_Table[[#This Row],[Block 2]],(SUM(ROI_Table[[#This Row],[Net Solar kWh]],Input!$H$7)-Input!$M$11)*ROI_Table[[#This Row],[Block 3]]))))</f>
        <v>114.93714474369024</v>
      </c>
      <c r="K11" s="17">
        <f ca="1">IF(ROI_Table[[#This Row],[Monthly kWh Bill]]&lt;0,((ROI_Table[[#This Row],[Service Charge]]*(1+Input!$N$14))*12),(SUM(ROI_Table[[#This Row],[Service Charge]],ROI_Table[[#This Row],[Monthly kWh Bill]])*(1+Input!$N$14))*12)</f>
        <v>1782.9342712889836</v>
      </c>
      <c r="L11" s="17">
        <f ca="1">ROI_Table[[#This Row],[Annual Non-Solar Bill]]-ROI_Table[[#This Row],[Annual Rooftop Bill]]</f>
        <v>938.08000624587407</v>
      </c>
      <c r="M11" s="76">
        <f ca="1">SUM(M10,ROI_Table[[#This Row],[Shared Solar Avoided Cost]])</f>
        <v>1862.5875220529761</v>
      </c>
      <c r="N11" s="17">
        <f ca="1">IF(ROI_Table[[#This Row],[Year]]&gt;1,SUM(N10,ROI_Table[[#This Row],[Rooftop Avoided Cost]]),SUM(-Input!$K$9,ROI_Table[[#This Row],[Rooftop Avoided Cost]]))</f>
        <v>-2005.5760263557524</v>
      </c>
      <c r="O11" s="72">
        <f ca="1">IF(ROI_Table[[#This Row],[Year]]&gt;Input!$E$9,SUM(ROI_Table[[#This Row],[Rooftop Avoided Cost]],O10),IF(ROI_Table[[#This Row],[Year]]&gt;1,SUM(ROI_Table[[#This Row],[Rooftop Avoided Cost]],-Input!$K$11,O10),SUM(ROI_Table[[#This Row],[Rooftop Avoided Cost]],-SUM(Input!$K$7:$K$8,Input!$K$10:$K$11))))</f>
        <v>-9821.4996458113801</v>
      </c>
      <c r="P11" s="6"/>
      <c r="Q11" s="2" t="str">
        <f ca="1">IF(AND(ROI_Table[[#This Row],[Cash ROI]]&gt;1,$N10&lt;1),"Yes","No")</f>
        <v>No</v>
      </c>
      <c r="R11" s="2">
        <f>ROI_Table[[#This Row],[Year]]</f>
        <v>9</v>
      </c>
      <c r="S11" s="2"/>
      <c r="T11" s="2" t="str">
        <f ca="1">IF(AND(ROI_Table[[#This Row],[Financing ROI]]&gt;1,$O10&lt;1),"Yes","No")</f>
        <v>No</v>
      </c>
      <c r="U11" s="2">
        <f>ROI_Table[[#This Row],[Year]]</f>
        <v>9</v>
      </c>
    </row>
    <row r="12" spans="1:21" x14ac:dyDescent="0.25">
      <c r="A12" s="2">
        <v>10</v>
      </c>
      <c r="B12" s="12">
        <f>Input!$H$10*((1-((ROI_Table[[#This Row],[Year]]-1)*Input!$E$18)))</f>
        <v>-320.11292753623189</v>
      </c>
      <c r="C12" s="15">
        <f ca="1">VLOOKUP(SUM(ROI_Table[[#This Row],[Year]],Input!$E$12),Table33[#All],2,FALSE)</f>
        <v>20.248942233915049</v>
      </c>
      <c r="D12" s="16">
        <f ca="1">VLOOKUP(SUM(ROI_Table[[#This Row],[Year]],Input!$E$12),Table33[#All],3,FALSE)</f>
        <v>8.6461452005198627E-2</v>
      </c>
      <c r="E12" s="16">
        <f ca="1">VLOOKUP(SUM(ROI_Table[[#This Row],[Year]],Input!$E$12),Table33[#All],4,FALSE)</f>
        <v>0.1200329967211136</v>
      </c>
      <c r="F12" s="16">
        <f ca="1">VLOOKUP(SUM(ROI_Table[[#This Row],[Year]],Input!$E$12),Table33[#All],5,FALSE)</f>
        <v>0.14241402653172358</v>
      </c>
      <c r="G12" s="17">
        <f ca="1">(SUM(ROI_Table[[#This Row],[Service Charge]],IF(Input!$H$6&lt;Input!$M$10,Input!$H$6*ROI_Table[[#This Row],[Block 1]],IF(Input!$H$6&lt;Input!$M$11,SUM(Input!$M$10*ROI_Table[[#This Row],[Block 1]],(Input!$H$6-Input!$M$10)*ROI_Table[[#This Row],[Block 2]]),SUM(Input!$M$10*ROI_Table[[#This Row],[Block 1]],Input!$M$10*ROI_Table[[#This Row],[Block 2]],(Input!$H$6-Input!$M$11)*ROI_Table[[#This Row],[Block 3]]))))*(1+Input!$N$14))*12</f>
        <v>2761.8294916978798</v>
      </c>
      <c r="H12" s="76">
        <f ca="1">(SUM(ROI_Table[[#This Row],[Service Charge]],Input!$M$8*Input!$N$8,IF(Input!$K$16&lt;Input!$M$10,Input!$K$16*ROI_Table[[#This Row],[Block 1]],IF(Input!$K$16&lt;Input!$M$11,SUM(Input!$M$10*ROI_Table[[#This Row],[Block 1]],(Input!$K$16-Input!$M$10)*ROI_Table[[#This Row],[Block 2]]),SUM(Input!$M$10*ROI_Table[[#This Row],[Block 1]],Input!$M$10*ROI_Table[[#This Row],[Block 2]],(Input!$K$16-Input!$M$11)*ROI_Table[[#This Row],[Block 3]]))))*(1+Input!$N$14))*12</f>
        <v>2474.6232900800865</v>
      </c>
      <c r="I12" s="17">
        <f ca="1">ROI_Table[[#This Row],[Annual Non-Solar Bill]]-ROI_Table[[#This Row],[Annual Shared Solar Bill]]</f>
        <v>287.20620161779334</v>
      </c>
      <c r="J12" s="71">
        <f ca="1">IF(ROI_Table[[#This Row],[Net Solar kWh]]&lt;0,SUM(ROI_Table[[#This Row],[Net Solar kWh]]*-Input!$N$13,IF(Input!$H$7&lt;Input!$M$10,Input!$H$7*ROI_Table[[#This Row],[Block 1]],IF(Input!$H$7&lt;Input!$M$11,SUM(Input!$M$10*ROI_Table[[#This Row],[Block 1]],(Input!$H$7-Input!$M$10)*ROI_Table[[#This Row],[Block 2]]),SUM(Input!$M$10*ROI_Table[[#This Row],[Block 1]],Input!$M$10*ROI_Table[[#This Row],[Block 2]],(Input!$H$7-Input!$M$11)*ROI_Table[[#This Row],[Block 3]])))),IF(SUM(ROI_Table[[#This Row],[Net Solar kWh]],Input!$H$7)&lt;Input!$M$10,SUM(ROI_Table[[#This Row],[Net Solar kWh]],Input!$H$7)*ROI_Table[[#This Row],[Block 1]],IF(SUM(ROI_Table[[#This Row],[Net Solar kWh]],Input!$H$7)&lt;Input!$M$11,SUM(Input!$M$10*ROI_Table[[#This Row],[Block 1]],(SUM(ROI_Table[[#This Row],[Net Solar kWh]],Input!$H$7)-Input!$M$10)*ROI_Table[[#This Row],[Block 2]]),SUM(Input!$M$10*ROI_Table[[#This Row],[Block 1]],Input!$M$10*ROI_Table[[#This Row],[Block 2]],(SUM(ROI_Table[[#This Row],[Net Solar kWh]],Input!$H$7)-Input!$M$11)*ROI_Table[[#This Row],[Block 3]]))))</f>
        <v>117.17377473723977</v>
      </c>
      <c r="K12" s="17">
        <f ca="1">IF(ROI_Table[[#This Row],[Monthly kWh Bill]]&lt;0,((ROI_Table[[#This Row],[Service Charge]]*(1+Input!$N$14))*12),(SUM(ROI_Table[[#This Row],[Service Charge]],ROI_Table[[#This Row],[Monthly kWh Bill]])*(1+Input!$N$14))*12)</f>
        <v>1816.4534729247243</v>
      </c>
      <c r="L12" s="17">
        <f ca="1">ROI_Table[[#This Row],[Annual Non-Solar Bill]]-ROI_Table[[#This Row],[Annual Rooftop Bill]]</f>
        <v>945.37601877315547</v>
      </c>
      <c r="M12" s="76">
        <f ca="1">SUM(M11,ROI_Table[[#This Row],[Shared Solar Avoided Cost]])</f>
        <v>2149.7937236707694</v>
      </c>
      <c r="N12" s="17">
        <f ca="1">IF(ROI_Table[[#This Row],[Year]]&gt;1,SUM(N11,ROI_Table[[#This Row],[Rooftop Avoided Cost]]),SUM(-Input!$K$9,ROI_Table[[#This Row],[Rooftop Avoided Cost]]))</f>
        <v>-1060.200007582597</v>
      </c>
      <c r="O12" s="72">
        <f ca="1">IF(ROI_Table[[#This Row],[Year]]&gt;Input!$E$9,SUM(ROI_Table[[#This Row],[Rooftop Avoided Cost]],O11),IF(ROI_Table[[#This Row],[Year]]&gt;1,SUM(ROI_Table[[#This Row],[Rooftop Avoided Cost]],-Input!$K$11,O11),SUM(ROI_Table[[#This Row],[Rooftop Avoided Cost]],-SUM(Input!$K$7:$K$8,Input!$K$10:$K$11))))</f>
        <v>-8876.1236270382251</v>
      </c>
      <c r="P12" s="6"/>
      <c r="Q12" s="2" t="str">
        <f ca="1">IF(AND(ROI_Table[[#This Row],[Cash ROI]]&gt;1,$N11&lt;1),"Yes","No")</f>
        <v>No</v>
      </c>
      <c r="R12" s="2">
        <f>ROI_Table[[#This Row],[Year]]</f>
        <v>10</v>
      </c>
      <c r="S12" s="2"/>
      <c r="T12" s="2" t="str">
        <f ca="1">IF(AND(ROI_Table[[#This Row],[Financing ROI]]&gt;1,$O11&lt;1),"Yes","No")</f>
        <v>No</v>
      </c>
      <c r="U12" s="2">
        <f>ROI_Table[[#This Row],[Year]]</f>
        <v>10</v>
      </c>
    </row>
    <row r="13" spans="1:21" x14ac:dyDescent="0.25">
      <c r="A13" s="2">
        <v>11</v>
      </c>
      <c r="B13" s="12">
        <f>Input!$H$10*((1-((ROI_Table[[#This Row],[Year]]-1)*Input!$E$18)))</f>
        <v>-317.35333333333335</v>
      </c>
      <c r="C13" s="15">
        <f ca="1">VLOOKUP(SUM(ROI_Table[[#This Row],[Year]],Input!$E$12),Table33[#All],2,FALSE)</f>
        <v>20.552676367423771</v>
      </c>
      <c r="D13" s="16">
        <f ca="1">VLOOKUP(SUM(ROI_Table[[#This Row],[Year]],Input!$E$12),Table33[#All],3,FALSE)</f>
        <v>8.7758373785276594E-2</v>
      </c>
      <c r="E13" s="16">
        <f ca="1">VLOOKUP(SUM(ROI_Table[[#This Row],[Year]],Input!$E$12),Table33[#All],4,FALSE)</f>
        <v>0.12183349167193029</v>
      </c>
      <c r="F13" s="16">
        <f ca="1">VLOOKUP(SUM(ROI_Table[[#This Row],[Year]],Input!$E$12),Table33[#All],5,FALSE)</f>
        <v>0.14455023692969943</v>
      </c>
      <c r="G13" s="17">
        <f ca="1">(SUM(ROI_Table[[#This Row],[Service Charge]],IF(Input!$H$6&lt;Input!$M$10,Input!$H$6*ROI_Table[[#This Row],[Block 1]],IF(Input!$H$6&lt;Input!$M$11,SUM(Input!$M$10*ROI_Table[[#This Row],[Block 1]],(Input!$H$6-Input!$M$10)*ROI_Table[[#This Row],[Block 2]]),SUM(Input!$M$10*ROI_Table[[#This Row],[Block 1]],Input!$M$10*ROI_Table[[#This Row],[Block 2]],(Input!$H$6-Input!$M$11)*ROI_Table[[#This Row],[Block 3]]))))*(1+Input!$N$14))*12</f>
        <v>2803.2569340733476</v>
      </c>
      <c r="H13" s="76">
        <f ca="1">(SUM(ROI_Table[[#This Row],[Service Charge]],Input!$M$8*Input!$N$8,IF(Input!$K$16&lt;Input!$M$10,Input!$K$16*ROI_Table[[#This Row],[Block 1]],IF(Input!$K$16&lt;Input!$M$11,SUM(Input!$M$10*ROI_Table[[#This Row],[Block 1]],(Input!$K$16-Input!$M$10)*ROI_Table[[#This Row],[Block 2]]),SUM(Input!$M$10*ROI_Table[[#This Row],[Block 1]],Input!$M$10*ROI_Table[[#This Row],[Block 2]],(Input!$K$16-Input!$M$11)*ROI_Table[[#This Row],[Block 3]]))))*(1+Input!$N$14))*12</f>
        <v>2499.1088750312874</v>
      </c>
      <c r="I13" s="17">
        <f ca="1">ROI_Table[[#This Row],[Annual Non-Solar Bill]]-ROI_Table[[#This Row],[Annual Shared Solar Bill]]</f>
        <v>304.14805904206014</v>
      </c>
      <c r="J13" s="71">
        <f ca="1">IF(ROI_Table[[#This Row],[Net Solar kWh]]&lt;0,SUM(ROI_Table[[#This Row],[Net Solar kWh]]*-Input!$N$13,IF(Input!$H$7&lt;Input!$M$10,Input!$H$7*ROI_Table[[#This Row],[Block 1]],IF(Input!$H$7&lt;Input!$M$11,SUM(Input!$M$10*ROI_Table[[#This Row],[Block 1]],(Input!$H$7-Input!$M$10)*ROI_Table[[#This Row],[Block 2]]),SUM(Input!$M$10*ROI_Table[[#This Row],[Block 1]],Input!$M$10*ROI_Table[[#This Row],[Block 2]],(Input!$H$7-Input!$M$11)*ROI_Table[[#This Row],[Block 3]])))),IF(SUM(ROI_Table[[#This Row],[Net Solar kWh]],Input!$H$7)&lt;Input!$M$10,SUM(ROI_Table[[#This Row],[Net Solar kWh]],Input!$H$7)*ROI_Table[[#This Row],[Block 1]],IF(SUM(ROI_Table[[#This Row],[Net Solar kWh]],Input!$H$7)&lt;Input!$M$11,SUM(Input!$M$10*ROI_Table[[#This Row],[Block 1]],(SUM(ROI_Table[[#This Row],[Net Solar kWh]],Input!$H$7)-Input!$M$10)*ROI_Table[[#This Row],[Block 2]]),SUM(Input!$M$10*ROI_Table[[#This Row],[Block 1]],Input!$M$10*ROI_Table[[#This Row],[Block 2]],(SUM(ROI_Table[[#This Row],[Net Solar kWh]],Input!$H$7)-Input!$M$11)*ROI_Table[[#This Row],[Block 3]]))))</f>
        <v>119.44116340307517</v>
      </c>
      <c r="K13" s="17">
        <f ca="1">IF(ROI_Table[[#This Row],[Monthly kWh Bill]]&lt;0,((ROI_Table[[#This Row],[Service Charge]]*(1+Input!$N$14))*12),(SUM(ROI_Table[[#This Row],[Service Charge]],ROI_Table[[#This Row],[Monthly kWh Bill]])*(1+Input!$N$14))*12)</f>
        <v>1850.4385740864548</v>
      </c>
      <c r="L13" s="17">
        <f ca="1">ROI_Table[[#This Row],[Annual Non-Solar Bill]]-ROI_Table[[#This Row],[Annual Rooftop Bill]]</f>
        <v>952.8183599868928</v>
      </c>
      <c r="M13" s="76">
        <f ca="1">SUM(M12,ROI_Table[[#This Row],[Shared Solar Avoided Cost]])</f>
        <v>2453.9417827128295</v>
      </c>
      <c r="N13" s="17">
        <f ca="1">IF(ROI_Table[[#This Row],[Year]]&gt;1,SUM(N12,ROI_Table[[#This Row],[Rooftop Avoided Cost]]),SUM(-Input!$K$9,ROI_Table[[#This Row],[Rooftop Avoided Cost]]))</f>
        <v>-107.38164759570418</v>
      </c>
      <c r="O13" s="72">
        <f ca="1">IF(ROI_Table[[#This Row],[Year]]&gt;Input!$E$9,SUM(ROI_Table[[#This Row],[Rooftop Avoided Cost]],O12),IF(ROI_Table[[#This Row],[Year]]&gt;1,SUM(ROI_Table[[#This Row],[Rooftop Avoided Cost]],-Input!$K$11,O12),SUM(ROI_Table[[#This Row],[Rooftop Avoided Cost]],-SUM(Input!$K$7:$K$8,Input!$K$10:$K$11))))</f>
        <v>-7923.3052670513325</v>
      </c>
      <c r="P13" s="6"/>
      <c r="Q13" s="2" t="str">
        <f ca="1">IF(AND(ROI_Table[[#This Row],[Cash ROI]]&gt;1,$N12&lt;1),"Yes","No")</f>
        <v>No</v>
      </c>
      <c r="R13" s="2">
        <f>ROI_Table[[#This Row],[Year]]</f>
        <v>11</v>
      </c>
      <c r="S13" s="2"/>
      <c r="T13" s="2" t="str">
        <f ca="1">IF(AND(ROI_Table[[#This Row],[Financing ROI]]&gt;1,$O12&lt;1),"Yes","No")</f>
        <v>No</v>
      </c>
      <c r="U13" s="2">
        <f>ROI_Table[[#This Row],[Year]]</f>
        <v>11</v>
      </c>
    </row>
    <row r="14" spans="1:21" x14ac:dyDescent="0.25">
      <c r="A14" s="2">
        <v>12</v>
      </c>
      <c r="B14" s="12">
        <f>Input!$H$10*((1-((ROI_Table[[#This Row],[Year]]-1)*Input!$E$18)))</f>
        <v>-314.59373913043481</v>
      </c>
      <c r="C14" s="15">
        <f ca="1">VLOOKUP(SUM(ROI_Table[[#This Row],[Year]],Input!$E$12),Table33[#All],2,FALSE)</f>
        <v>20.860966512935125</v>
      </c>
      <c r="D14" s="16">
        <f ca="1">VLOOKUP(SUM(ROI_Table[[#This Row],[Year]],Input!$E$12),Table33[#All],3,FALSE)</f>
        <v>8.907474939205573E-2</v>
      </c>
      <c r="E14" s="16">
        <f ca="1">VLOOKUP(SUM(ROI_Table[[#This Row],[Year]],Input!$E$12),Table33[#All],4,FALSE)</f>
        <v>0.12366099404700924</v>
      </c>
      <c r="F14" s="16">
        <f ca="1">VLOOKUP(SUM(ROI_Table[[#This Row],[Year]],Input!$E$12),Table33[#All],5,FALSE)</f>
        <v>0.14671849048364491</v>
      </c>
      <c r="G14" s="17">
        <f ca="1">(SUM(ROI_Table[[#This Row],[Service Charge]],IF(Input!$H$6&lt;Input!$M$10,Input!$H$6*ROI_Table[[#This Row],[Block 1]],IF(Input!$H$6&lt;Input!$M$11,SUM(Input!$M$10*ROI_Table[[#This Row],[Block 1]],(Input!$H$6-Input!$M$10)*ROI_Table[[#This Row],[Block 2]]),SUM(Input!$M$10*ROI_Table[[#This Row],[Block 1]],Input!$M$10*ROI_Table[[#This Row],[Block 2]],(Input!$H$6-Input!$M$11)*ROI_Table[[#This Row],[Block 3]]))))*(1+Input!$N$14))*12</f>
        <v>2845.3057880844481</v>
      </c>
      <c r="H14" s="76">
        <f ca="1">(SUM(ROI_Table[[#This Row],[Service Charge]],Input!$M$8*Input!$N$8,IF(Input!$K$16&lt;Input!$M$10,Input!$K$16*ROI_Table[[#This Row],[Block 1]],IF(Input!$K$16&lt;Input!$M$11,SUM(Input!$M$10*ROI_Table[[#This Row],[Block 1]],(Input!$K$16-Input!$M$10)*ROI_Table[[#This Row],[Block 2]]),SUM(Input!$M$10*ROI_Table[[#This Row],[Block 1]],Input!$M$10*ROI_Table[[#This Row],[Block 2]],(Input!$K$16-Input!$M$11)*ROI_Table[[#This Row],[Block 3]]))))*(1+Input!$N$14))*12</f>
        <v>2523.9617437567567</v>
      </c>
      <c r="I14" s="17">
        <f ca="1">ROI_Table[[#This Row],[Annual Non-Solar Bill]]-ROI_Table[[#This Row],[Annual Shared Solar Bill]]</f>
        <v>321.34404432769134</v>
      </c>
      <c r="J14" s="71">
        <f ca="1">IF(ROI_Table[[#This Row],[Net Solar kWh]]&lt;0,SUM(ROI_Table[[#This Row],[Net Solar kWh]]*-Input!$N$13,IF(Input!$H$7&lt;Input!$M$10,Input!$H$7*ROI_Table[[#This Row],[Block 1]],IF(Input!$H$7&lt;Input!$M$11,SUM(Input!$M$10*ROI_Table[[#This Row],[Block 1]],(Input!$H$7-Input!$M$10)*ROI_Table[[#This Row],[Block 2]]),SUM(Input!$M$10*ROI_Table[[#This Row],[Block 1]],Input!$M$10*ROI_Table[[#This Row],[Block 2]],(Input!$H$7-Input!$M$11)*ROI_Table[[#This Row],[Block 3]])))),IF(SUM(ROI_Table[[#This Row],[Net Solar kWh]],Input!$H$7)&lt;Input!$M$10,SUM(ROI_Table[[#This Row],[Net Solar kWh]],Input!$H$7)*ROI_Table[[#This Row],[Block 1]],IF(SUM(ROI_Table[[#This Row],[Net Solar kWh]],Input!$H$7)&lt;Input!$M$11,SUM(Input!$M$10*ROI_Table[[#This Row],[Block 1]],(SUM(ROI_Table[[#This Row],[Net Solar kWh]],Input!$H$7)-Input!$M$10)*ROI_Table[[#This Row],[Block 2]]),SUM(Input!$M$10*ROI_Table[[#This Row],[Block 1]],Input!$M$10*ROI_Table[[#This Row],[Block 2]],(SUM(ROI_Table[[#This Row],[Net Solar kWh]],Input!$H$7)-Input!$M$11)*ROI_Table[[#This Row],[Block 3]]))))</f>
        <v>121.73977212128069</v>
      </c>
      <c r="K14" s="17">
        <f ca="1">IF(ROI_Table[[#This Row],[Monthly kWh Bill]]&lt;0,((ROI_Table[[#This Row],[Service Charge]]*(1+Input!$N$14))*12),(SUM(ROI_Table[[#This Row],[Service Charge]],ROI_Table[[#This Row],[Monthly kWh Bill]])*(1+Input!$N$14))*12)</f>
        <v>1884.8965632670643</v>
      </c>
      <c r="L14" s="17">
        <f ca="1">ROI_Table[[#This Row],[Annual Non-Solar Bill]]-ROI_Table[[#This Row],[Annual Rooftop Bill]]</f>
        <v>960.4092248173838</v>
      </c>
      <c r="M14" s="76">
        <f ca="1">SUM(M13,ROI_Table[[#This Row],[Shared Solar Avoided Cost]])</f>
        <v>2775.2858270405209</v>
      </c>
      <c r="N14" s="17">
        <f ca="1">IF(ROI_Table[[#This Row],[Year]]&gt;1,SUM(N13,ROI_Table[[#This Row],[Rooftop Avoided Cost]]),SUM(-Input!$K$9,ROI_Table[[#This Row],[Rooftop Avoided Cost]]))</f>
        <v>853.02757722167962</v>
      </c>
      <c r="O14" s="72">
        <f ca="1">IF(ROI_Table[[#This Row],[Year]]&gt;Input!$E$9,SUM(ROI_Table[[#This Row],[Rooftop Avoided Cost]],O13),IF(ROI_Table[[#This Row],[Year]]&gt;1,SUM(ROI_Table[[#This Row],[Rooftop Avoided Cost]],-Input!$K$11,O13),SUM(ROI_Table[[#This Row],[Rooftop Avoided Cost]],-SUM(Input!$K$7:$K$8,Input!$K$10:$K$11))))</f>
        <v>-6962.8960422339487</v>
      </c>
      <c r="P14" s="6"/>
      <c r="Q14" s="2" t="str">
        <f ca="1">IF(AND(ROI_Table[[#This Row],[Cash ROI]]&gt;1,$N13&lt;1),"Yes","No")</f>
        <v>Yes</v>
      </c>
      <c r="R14" s="2">
        <f>ROI_Table[[#This Row],[Year]]</f>
        <v>12</v>
      </c>
      <c r="S14" s="2"/>
      <c r="T14" s="2" t="str">
        <f ca="1">IF(AND(ROI_Table[[#This Row],[Financing ROI]]&gt;1,$O13&lt;1),"Yes","No")</f>
        <v>No</v>
      </c>
      <c r="U14" s="2">
        <f>ROI_Table[[#This Row],[Year]]</f>
        <v>12</v>
      </c>
    </row>
    <row r="15" spans="1:21" x14ac:dyDescent="0.25">
      <c r="A15" s="2">
        <v>13</v>
      </c>
      <c r="B15" s="12">
        <f>Input!$H$10*((1-((ROI_Table[[#This Row],[Year]]-1)*Input!$E$18)))</f>
        <v>-311.83414492753627</v>
      </c>
      <c r="C15" s="15">
        <f ca="1">VLOOKUP(SUM(ROI_Table[[#This Row],[Year]],Input!$E$12),Table33[#All],2,FALSE)</f>
        <v>21.173881010629149</v>
      </c>
      <c r="D15" s="16">
        <f ca="1">VLOOKUP(SUM(ROI_Table[[#This Row],[Year]],Input!$E$12),Table33[#All],3,FALSE)</f>
        <v>9.0410870632936555E-2</v>
      </c>
      <c r="E15" s="16">
        <f ca="1">VLOOKUP(SUM(ROI_Table[[#This Row],[Year]],Input!$E$12),Table33[#All],4,FALSE)</f>
        <v>0.12551590895771436</v>
      </c>
      <c r="F15" s="16">
        <f ca="1">VLOOKUP(SUM(ROI_Table[[#This Row],[Year]],Input!$E$12),Table33[#All],5,FALSE)</f>
        <v>0.14891926784089957</v>
      </c>
      <c r="G15" s="17">
        <f ca="1">(SUM(ROI_Table[[#This Row],[Service Charge]],IF(Input!$H$6&lt;Input!$M$10,Input!$H$6*ROI_Table[[#This Row],[Block 1]],IF(Input!$H$6&lt;Input!$M$11,SUM(Input!$M$10*ROI_Table[[#This Row],[Block 1]],(Input!$H$6-Input!$M$10)*ROI_Table[[#This Row],[Block 2]]),SUM(Input!$M$10*ROI_Table[[#This Row],[Block 1]],Input!$M$10*ROI_Table[[#This Row],[Block 2]],(Input!$H$6-Input!$M$11)*ROI_Table[[#This Row],[Block 3]]))))*(1+Input!$N$14))*12</f>
        <v>2887.9853749057138</v>
      </c>
      <c r="H15" s="76">
        <f ca="1">(SUM(ROI_Table[[#This Row],[Service Charge]],Input!$M$8*Input!$N$8,IF(Input!$K$16&lt;Input!$M$10,Input!$K$16*ROI_Table[[#This Row],[Block 1]],IF(Input!$K$16&lt;Input!$M$11,SUM(Input!$M$10*ROI_Table[[#This Row],[Block 1]],(Input!$K$16-Input!$M$10)*ROI_Table[[#This Row],[Block 2]]),SUM(Input!$M$10*ROI_Table[[#This Row],[Block 1]],Input!$M$10*ROI_Table[[#This Row],[Block 2]],(Input!$K$16-Input!$M$11)*ROI_Table[[#This Row],[Block 3]]))))*(1+Input!$N$14))*12</f>
        <v>2549.1874055131079</v>
      </c>
      <c r="I15" s="17">
        <f ca="1">ROI_Table[[#This Row],[Annual Non-Solar Bill]]-ROI_Table[[#This Row],[Annual Shared Solar Bill]]</f>
        <v>338.79796939260586</v>
      </c>
      <c r="J15" s="71">
        <f ca="1">IF(ROI_Table[[#This Row],[Net Solar kWh]]&lt;0,SUM(ROI_Table[[#This Row],[Net Solar kWh]]*-Input!$N$13,IF(Input!$H$7&lt;Input!$M$10,Input!$H$7*ROI_Table[[#This Row],[Block 1]],IF(Input!$H$7&lt;Input!$M$11,SUM(Input!$M$10*ROI_Table[[#This Row],[Block 1]],(Input!$H$7-Input!$M$10)*ROI_Table[[#This Row],[Block 2]]),SUM(Input!$M$10*ROI_Table[[#This Row],[Block 1]],Input!$M$10*ROI_Table[[#This Row],[Block 2]],(Input!$H$7-Input!$M$11)*ROI_Table[[#This Row],[Block 3]])))),IF(SUM(ROI_Table[[#This Row],[Net Solar kWh]],Input!$H$7)&lt;Input!$M$10,SUM(ROI_Table[[#This Row],[Net Solar kWh]],Input!$H$7)*ROI_Table[[#This Row],[Block 1]],IF(SUM(ROI_Table[[#This Row],[Net Solar kWh]],Input!$H$7)&lt;Input!$M$11,SUM(Input!$M$10*ROI_Table[[#This Row],[Block 1]],(SUM(ROI_Table[[#This Row],[Net Solar kWh]],Input!$H$7)-Input!$M$10)*ROI_Table[[#This Row],[Block 2]]),SUM(Input!$M$10*ROI_Table[[#This Row],[Block 1]],Input!$M$10*ROI_Table[[#This Row],[Block 2]],(SUM(ROI_Table[[#This Row],[Net Solar kWh]],Input!$H$7)-Input!$M$11)*ROI_Table[[#This Row],[Block 3]]))))</f>
        <v>124.07006919264191</v>
      </c>
      <c r="K15" s="17">
        <f ca="1">IF(ROI_Table[[#This Row],[Monthly kWh Bill]]&lt;0,((ROI_Table[[#This Row],[Service Charge]]*(1+Input!$N$14))*12),(SUM(ROI_Table[[#This Row],[Service Charge]],ROI_Table[[#This Row],[Monthly kWh Bill]])*(1+Input!$N$14))*12)</f>
        <v>1919.8345337868368</v>
      </c>
      <c r="L15" s="17">
        <f ca="1">ROI_Table[[#This Row],[Annual Non-Solar Bill]]-ROI_Table[[#This Row],[Annual Rooftop Bill]]</f>
        <v>968.150841118877</v>
      </c>
      <c r="M15" s="76">
        <f ca="1">SUM(M14,ROI_Table[[#This Row],[Shared Solar Avoided Cost]])</f>
        <v>3114.0837964331267</v>
      </c>
      <c r="N15" s="17">
        <f ca="1">IF(ROI_Table[[#This Row],[Year]]&gt;1,SUM(N14,ROI_Table[[#This Row],[Rooftop Avoided Cost]]),SUM(-Input!$K$9,ROI_Table[[#This Row],[Rooftop Avoided Cost]]))</f>
        <v>1821.1784183405566</v>
      </c>
      <c r="O15" s="72">
        <f ca="1">IF(ROI_Table[[#This Row],[Year]]&gt;Input!$E$9,SUM(ROI_Table[[#This Row],[Rooftop Avoided Cost]],O14),IF(ROI_Table[[#This Row],[Year]]&gt;1,SUM(ROI_Table[[#This Row],[Rooftop Avoided Cost]],-Input!$K$11,O14),SUM(ROI_Table[[#This Row],[Rooftop Avoided Cost]],-SUM(Input!$K$7:$K$8,Input!$K$10:$K$11))))</f>
        <v>-5994.7452011150717</v>
      </c>
      <c r="P15" s="6"/>
      <c r="Q15" s="2" t="str">
        <f ca="1">IF(AND(ROI_Table[[#This Row],[Cash ROI]]&gt;1,$N14&lt;1),"Yes","No")</f>
        <v>No</v>
      </c>
      <c r="R15" s="2">
        <f>ROI_Table[[#This Row],[Year]]</f>
        <v>13</v>
      </c>
      <c r="S15" s="2"/>
      <c r="T15" s="2" t="str">
        <f ca="1">IF(AND(ROI_Table[[#This Row],[Financing ROI]]&gt;1,$O14&lt;1),"Yes","No")</f>
        <v>No</v>
      </c>
      <c r="U15" s="2">
        <f>ROI_Table[[#This Row],[Year]]</f>
        <v>13</v>
      </c>
    </row>
    <row r="16" spans="1:21" x14ac:dyDescent="0.25">
      <c r="A16" s="2">
        <v>14</v>
      </c>
      <c r="B16" s="12">
        <f>Input!$H$10*((1-((ROI_Table[[#This Row],[Year]]-1)*Input!$E$18)))</f>
        <v>-309.07455072463773</v>
      </c>
      <c r="C16" s="15">
        <f ca="1">VLOOKUP(SUM(ROI_Table[[#This Row],[Year]],Input!$E$12),Table33[#All],2,FALSE)</f>
        <v>21.491489225788584</v>
      </c>
      <c r="D16" s="16">
        <f ca="1">VLOOKUP(SUM(ROI_Table[[#This Row],[Year]],Input!$E$12),Table33[#All],3,FALSE)</f>
        <v>9.1767033692430597E-2</v>
      </c>
      <c r="E16" s="16">
        <f ca="1">VLOOKUP(SUM(ROI_Table[[#This Row],[Year]],Input!$E$12),Table33[#All],4,FALSE)</f>
        <v>0.12739864759208006</v>
      </c>
      <c r="F16" s="16">
        <f ca="1">VLOOKUP(SUM(ROI_Table[[#This Row],[Year]],Input!$E$12),Table33[#All],5,FALSE)</f>
        <v>0.15115305685851305</v>
      </c>
      <c r="G16" s="17">
        <f ca="1">(SUM(ROI_Table[[#This Row],[Service Charge]],IF(Input!$H$6&lt;Input!$M$10,Input!$H$6*ROI_Table[[#This Row],[Block 1]],IF(Input!$H$6&lt;Input!$M$11,SUM(Input!$M$10*ROI_Table[[#This Row],[Block 1]],(Input!$H$6-Input!$M$10)*ROI_Table[[#This Row],[Block 2]]),SUM(Input!$M$10*ROI_Table[[#This Row],[Block 1]],Input!$M$10*ROI_Table[[#This Row],[Block 2]],(Input!$H$6-Input!$M$11)*ROI_Table[[#This Row],[Block 3]]))))*(1+Input!$N$14))*12</f>
        <v>2931.3051555292996</v>
      </c>
      <c r="H16" s="76">
        <f ca="1">(SUM(ROI_Table[[#This Row],[Service Charge]],Input!$M$8*Input!$N$8,IF(Input!$K$16&lt;Input!$M$10,Input!$K$16*ROI_Table[[#This Row],[Block 1]],IF(Input!$K$16&lt;Input!$M$11,SUM(Input!$M$10*ROI_Table[[#This Row],[Block 1]],(Input!$K$16-Input!$M$10)*ROI_Table[[#This Row],[Block 2]]),SUM(Input!$M$10*ROI_Table[[#This Row],[Block 1]],Input!$M$10*ROI_Table[[#This Row],[Block 2]],(Input!$K$16-Input!$M$11)*ROI_Table[[#This Row],[Block 3]]))))*(1+Input!$N$14))*12</f>
        <v>2574.7914521958041</v>
      </c>
      <c r="I16" s="17">
        <f ca="1">ROI_Table[[#This Row],[Annual Non-Solar Bill]]-ROI_Table[[#This Row],[Annual Shared Solar Bill]]</f>
        <v>356.51370333349541</v>
      </c>
      <c r="J16" s="71">
        <f ca="1">IF(ROI_Table[[#This Row],[Net Solar kWh]]&lt;0,SUM(ROI_Table[[#This Row],[Net Solar kWh]]*-Input!$N$13,IF(Input!$H$7&lt;Input!$M$10,Input!$H$7*ROI_Table[[#This Row],[Block 1]],IF(Input!$H$7&lt;Input!$M$11,SUM(Input!$M$10*ROI_Table[[#This Row],[Block 1]],(Input!$H$7-Input!$M$10)*ROI_Table[[#This Row],[Block 2]]),SUM(Input!$M$10*ROI_Table[[#This Row],[Block 1]],Input!$M$10*ROI_Table[[#This Row],[Block 2]],(Input!$H$7-Input!$M$11)*ROI_Table[[#This Row],[Block 3]])))),IF(SUM(ROI_Table[[#This Row],[Net Solar kWh]],Input!$H$7)&lt;Input!$M$10,SUM(ROI_Table[[#This Row],[Net Solar kWh]],Input!$H$7)*ROI_Table[[#This Row],[Block 1]],IF(SUM(ROI_Table[[#This Row],[Net Solar kWh]],Input!$H$7)&lt;Input!$M$11,SUM(Input!$M$10*ROI_Table[[#This Row],[Block 1]],(SUM(ROI_Table[[#This Row],[Net Solar kWh]],Input!$H$7)-Input!$M$10)*ROI_Table[[#This Row],[Block 2]]),SUM(Input!$M$10*ROI_Table[[#This Row],[Block 1]],Input!$M$10*ROI_Table[[#This Row],[Block 2]],(SUM(ROI_Table[[#This Row],[Net Solar kWh]],Input!$H$7)-Input!$M$11)*ROI_Table[[#This Row],[Block 3]]))))</f>
        <v>126.43252994245617</v>
      </c>
      <c r="K16" s="17">
        <f ca="1">IF(ROI_Table[[#This Row],[Monthly kWh Bill]]&lt;0,((ROI_Table[[#This Row],[Service Charge]]*(1+Input!$N$14))*12),(SUM(ROI_Table[[#This Row],[Service Charge]],ROI_Table[[#This Row],[Monthly kWh Bill]])*(1+Input!$N$14))*12)</f>
        <v>1955.2596853658588</v>
      </c>
      <c r="L16" s="17">
        <f ca="1">ROI_Table[[#This Row],[Annual Non-Solar Bill]]-ROI_Table[[#This Row],[Annual Rooftop Bill]]</f>
        <v>976.04547016344077</v>
      </c>
      <c r="M16" s="76">
        <f ca="1">SUM(M15,ROI_Table[[#This Row],[Shared Solar Avoided Cost]])</f>
        <v>3470.5974997666221</v>
      </c>
      <c r="N16" s="17">
        <f ca="1">IF(ROI_Table[[#This Row],[Year]]&gt;1,SUM(N15,ROI_Table[[#This Row],[Rooftop Avoided Cost]]),SUM(-Input!$K$9,ROI_Table[[#This Row],[Rooftop Avoided Cost]]))</f>
        <v>2797.2238885039974</v>
      </c>
      <c r="O16" s="72">
        <f ca="1">IF(ROI_Table[[#This Row],[Year]]&gt;Input!$E$9,SUM(ROI_Table[[#This Row],[Rooftop Avoided Cost]],O15),IF(ROI_Table[[#This Row],[Year]]&gt;1,SUM(ROI_Table[[#This Row],[Rooftop Avoided Cost]],-Input!$K$11,O15),SUM(ROI_Table[[#This Row],[Rooftop Avoided Cost]],-SUM(Input!$K$7:$K$8,Input!$K$10:$K$11))))</f>
        <v>-5018.699730951631</v>
      </c>
      <c r="P16" s="6"/>
      <c r="Q16" s="2" t="str">
        <f ca="1">IF(AND(ROI_Table[[#This Row],[Cash ROI]]&gt;1,$N15&lt;1),"Yes","No")</f>
        <v>No</v>
      </c>
      <c r="R16" s="2">
        <f>ROI_Table[[#This Row],[Year]]</f>
        <v>14</v>
      </c>
      <c r="S16" s="2"/>
      <c r="T16" s="2" t="str">
        <f ca="1">IF(AND(ROI_Table[[#This Row],[Financing ROI]]&gt;1,$O15&lt;1),"Yes","No")</f>
        <v>No</v>
      </c>
      <c r="U16" s="2">
        <f>ROI_Table[[#This Row],[Year]]</f>
        <v>14</v>
      </c>
    </row>
    <row r="17" spans="1:21" x14ac:dyDescent="0.25">
      <c r="A17" s="2">
        <v>15</v>
      </c>
      <c r="B17" s="12">
        <f>Input!$H$10*((1-((ROI_Table[[#This Row],[Year]]-1)*Input!$E$18)))</f>
        <v>-306.31495652173913</v>
      </c>
      <c r="C17" s="15">
        <f ca="1">VLOOKUP(SUM(ROI_Table[[#This Row],[Year]],Input!$E$12),Table33[#All],2,FALSE)</f>
        <v>21.813861564175411</v>
      </c>
      <c r="D17" s="16">
        <f ca="1">VLOOKUP(SUM(ROI_Table[[#This Row],[Year]],Input!$E$12),Table33[#All],3,FALSE)</f>
        <v>9.3143539197817052E-2</v>
      </c>
      <c r="E17" s="16">
        <f ca="1">VLOOKUP(SUM(ROI_Table[[#This Row],[Year]],Input!$E$12),Table33[#All],4,FALSE)</f>
        <v>0.12930962730596124</v>
      </c>
      <c r="F17" s="16">
        <f ca="1">VLOOKUP(SUM(ROI_Table[[#This Row],[Year]],Input!$E$12),Table33[#All],5,FALSE)</f>
        <v>0.15342035271139073</v>
      </c>
      <c r="G17" s="17">
        <f ca="1">(SUM(ROI_Table[[#This Row],[Service Charge]],IF(Input!$H$6&lt;Input!$M$10,Input!$H$6*ROI_Table[[#This Row],[Block 1]],IF(Input!$H$6&lt;Input!$M$11,SUM(Input!$M$10*ROI_Table[[#This Row],[Block 1]],(Input!$H$6-Input!$M$10)*ROI_Table[[#This Row],[Block 2]]),SUM(Input!$M$10*ROI_Table[[#This Row],[Block 1]],Input!$M$10*ROI_Table[[#This Row],[Block 2]],(Input!$H$6-Input!$M$11)*ROI_Table[[#This Row],[Block 3]]))))*(1+Input!$N$14))*12</f>
        <v>2975.274732862239</v>
      </c>
      <c r="H17" s="76">
        <f ca="1">(SUM(ROI_Table[[#This Row],[Service Charge]],Input!$M$8*Input!$N$8,IF(Input!$K$16&lt;Input!$M$10,Input!$K$16*ROI_Table[[#This Row],[Block 1]],IF(Input!$K$16&lt;Input!$M$11,SUM(Input!$M$10*ROI_Table[[#This Row],[Block 1]],(Input!$K$16-Input!$M$10)*ROI_Table[[#This Row],[Block 2]]),SUM(Input!$M$10*ROI_Table[[#This Row],[Block 1]],Input!$M$10*ROI_Table[[#This Row],[Block 2]],(Input!$K$16-Input!$M$11)*ROI_Table[[#This Row],[Block 3]]))))*(1+Input!$N$14))*12</f>
        <v>2600.7795595787406</v>
      </c>
      <c r="I17" s="17">
        <f ca="1">ROI_Table[[#This Row],[Annual Non-Solar Bill]]-ROI_Table[[#This Row],[Annual Shared Solar Bill]]</f>
        <v>374.49517328349839</v>
      </c>
      <c r="J17" s="71">
        <f ca="1">IF(ROI_Table[[#This Row],[Net Solar kWh]]&lt;0,SUM(ROI_Table[[#This Row],[Net Solar kWh]]*-Input!$N$13,IF(Input!$H$7&lt;Input!$M$10,Input!$H$7*ROI_Table[[#This Row],[Block 1]],IF(Input!$H$7&lt;Input!$M$11,SUM(Input!$M$10*ROI_Table[[#This Row],[Block 1]],(Input!$H$7-Input!$M$10)*ROI_Table[[#This Row],[Block 2]]),SUM(Input!$M$10*ROI_Table[[#This Row],[Block 1]],Input!$M$10*ROI_Table[[#This Row],[Block 2]],(Input!$H$7-Input!$M$11)*ROI_Table[[#This Row],[Block 3]])))),IF(SUM(ROI_Table[[#This Row],[Net Solar kWh]],Input!$H$7)&lt;Input!$M$10,SUM(ROI_Table[[#This Row],[Net Solar kWh]],Input!$H$7)*ROI_Table[[#This Row],[Block 1]],IF(SUM(ROI_Table[[#This Row],[Net Solar kWh]],Input!$H$7)&lt;Input!$M$11,SUM(Input!$M$10*ROI_Table[[#This Row],[Block 1]],(SUM(ROI_Table[[#This Row],[Net Solar kWh]],Input!$H$7)-Input!$M$10)*ROI_Table[[#This Row],[Block 2]]),SUM(Input!$M$10*ROI_Table[[#This Row],[Block 1]],Input!$M$10*ROI_Table[[#This Row],[Block 2]],(SUM(ROI_Table[[#This Row],[Net Solar kWh]],Input!$H$7)-Input!$M$11)*ROI_Table[[#This Row],[Block 3]]))))</f>
        <v>128.82763682590021</v>
      </c>
      <c r="K17" s="17">
        <f ca="1">IF(ROI_Table[[#This Row],[Monthly kWh Bill]]&lt;0,((ROI_Table[[#This Row],[Service Charge]]*(1+Input!$N$14))*12),(SUM(ROI_Table[[#This Row],[Service Charge]],ROI_Table[[#This Row],[Monthly kWh Bill]])*(1+Input!$N$14))*12)</f>
        <v>1991.1793257200197</v>
      </c>
      <c r="L17" s="17">
        <f ca="1">ROI_Table[[#This Row],[Annual Non-Solar Bill]]-ROI_Table[[#This Row],[Annual Rooftop Bill]]</f>
        <v>984.0954071422193</v>
      </c>
      <c r="M17" s="76">
        <f ca="1">SUM(M16,ROI_Table[[#This Row],[Shared Solar Avoided Cost]])</f>
        <v>3845.0926730501205</v>
      </c>
      <c r="N17" s="17">
        <f ca="1">IF(ROI_Table[[#This Row],[Year]]&gt;1,SUM(N16,ROI_Table[[#This Row],[Rooftop Avoided Cost]]),SUM(-Input!$K$9,ROI_Table[[#This Row],[Rooftop Avoided Cost]]))</f>
        <v>3781.3192956462167</v>
      </c>
      <c r="O17" s="72">
        <f ca="1">IF(ROI_Table[[#This Row],[Year]]&gt;Input!$E$9,SUM(ROI_Table[[#This Row],[Rooftop Avoided Cost]],O16),IF(ROI_Table[[#This Row],[Year]]&gt;1,SUM(ROI_Table[[#This Row],[Rooftop Avoided Cost]],-Input!$K$11,O16),SUM(ROI_Table[[#This Row],[Rooftop Avoided Cost]],-SUM(Input!$K$7:$K$8,Input!$K$10:$K$11))))</f>
        <v>-4034.6043238094117</v>
      </c>
      <c r="P17" s="6"/>
      <c r="Q17" s="2" t="str">
        <f ca="1">IF(AND(ROI_Table[[#This Row],[Cash ROI]]&gt;1,$N16&lt;1),"Yes","No")</f>
        <v>No</v>
      </c>
      <c r="R17" s="2">
        <f>ROI_Table[[#This Row],[Year]]</f>
        <v>15</v>
      </c>
      <c r="S17" s="2"/>
      <c r="T17" s="2" t="str">
        <f ca="1">IF(AND(ROI_Table[[#This Row],[Financing ROI]]&gt;1,$O16&lt;1),"Yes","No")</f>
        <v>No</v>
      </c>
      <c r="U17" s="2">
        <f>ROI_Table[[#This Row],[Year]]</f>
        <v>15</v>
      </c>
    </row>
    <row r="18" spans="1:21" x14ac:dyDescent="0.25">
      <c r="A18" s="2">
        <v>16</v>
      </c>
      <c r="B18" s="12">
        <f>Input!$H$10*((1-((ROI_Table[[#This Row],[Year]]-1)*Input!$E$18)))</f>
        <v>-303.55536231884059</v>
      </c>
      <c r="C18" s="15">
        <f ca="1">VLOOKUP(SUM(ROI_Table[[#This Row],[Year]],Input!$E$12),Table33[#All],2,FALSE)</f>
        <v>22.141069487638042</v>
      </c>
      <c r="D18" s="16">
        <f ca="1">VLOOKUP(SUM(ROI_Table[[#This Row],[Year]],Input!$E$12),Table33[#All],3,FALSE)</f>
        <v>9.4540692285784295E-2</v>
      </c>
      <c r="E18" s="16">
        <f ca="1">VLOOKUP(SUM(ROI_Table[[#This Row],[Year]],Input!$E$12),Table33[#All],4,FALSE)</f>
        <v>0.13124927171555065</v>
      </c>
      <c r="F18" s="16">
        <f ca="1">VLOOKUP(SUM(ROI_Table[[#This Row],[Year]],Input!$E$12),Table33[#All],5,FALSE)</f>
        <v>0.15572165800206159</v>
      </c>
      <c r="G18" s="17">
        <f ca="1">(SUM(ROI_Table[[#This Row],[Service Charge]],IF(Input!$H$6&lt;Input!$M$10,Input!$H$6*ROI_Table[[#This Row],[Block 1]],IF(Input!$H$6&lt;Input!$M$11,SUM(Input!$M$10*ROI_Table[[#This Row],[Block 1]],(Input!$H$6-Input!$M$10)*ROI_Table[[#This Row],[Block 2]]),SUM(Input!$M$10*ROI_Table[[#This Row],[Block 1]],Input!$M$10*ROI_Table[[#This Row],[Block 2]],(Input!$H$6-Input!$M$11)*ROI_Table[[#This Row],[Block 3]]))))*(1+Input!$N$14))*12</f>
        <v>3019.9038538551722</v>
      </c>
      <c r="H18" s="76">
        <f ca="1">(SUM(ROI_Table[[#This Row],[Service Charge]],Input!$M$8*Input!$N$8,IF(Input!$K$16&lt;Input!$M$10,Input!$K$16*ROI_Table[[#This Row],[Block 1]],IF(Input!$K$16&lt;Input!$M$11,SUM(Input!$M$10*ROI_Table[[#This Row],[Block 1]],(Input!$K$16-Input!$M$10)*ROI_Table[[#This Row],[Block 2]]),SUM(Input!$M$10*ROI_Table[[#This Row],[Block 1]],Input!$M$10*ROI_Table[[#This Row],[Block 2]],(Input!$K$16-Input!$M$11)*ROI_Table[[#This Row],[Block 3]]))))*(1+Input!$N$14))*12</f>
        <v>2627.1574885724222</v>
      </c>
      <c r="I18" s="17">
        <f ca="1">ROI_Table[[#This Row],[Annual Non-Solar Bill]]-ROI_Table[[#This Row],[Annual Shared Solar Bill]]</f>
        <v>392.74636528275005</v>
      </c>
      <c r="J18" s="71">
        <f ca="1">IF(ROI_Table[[#This Row],[Net Solar kWh]]&lt;0,SUM(ROI_Table[[#This Row],[Net Solar kWh]]*-Input!$N$13,IF(Input!$H$7&lt;Input!$M$10,Input!$H$7*ROI_Table[[#This Row],[Block 1]],IF(Input!$H$7&lt;Input!$M$11,SUM(Input!$M$10*ROI_Table[[#This Row],[Block 1]],(Input!$H$7-Input!$M$10)*ROI_Table[[#This Row],[Block 2]]),SUM(Input!$M$10*ROI_Table[[#This Row],[Block 1]],Input!$M$10*ROI_Table[[#This Row],[Block 2]],(Input!$H$7-Input!$M$11)*ROI_Table[[#This Row],[Block 3]])))),IF(SUM(ROI_Table[[#This Row],[Net Solar kWh]],Input!$H$7)&lt;Input!$M$10,SUM(ROI_Table[[#This Row],[Net Solar kWh]],Input!$H$7)*ROI_Table[[#This Row],[Block 1]],IF(SUM(ROI_Table[[#This Row],[Net Solar kWh]],Input!$H$7)&lt;Input!$M$11,SUM(Input!$M$10*ROI_Table[[#This Row],[Block 1]],(SUM(ROI_Table[[#This Row],[Net Solar kWh]],Input!$H$7)-Input!$M$10)*ROI_Table[[#This Row],[Block 2]]),SUM(Input!$M$10*ROI_Table[[#This Row],[Block 1]],Input!$M$10*ROI_Table[[#This Row],[Block 2]],(SUM(ROI_Table[[#This Row],[Net Solar kWh]],Input!$H$7)-Input!$M$11)*ROI_Table[[#This Row],[Block 3]]))))</f>
        <v>131.25587953497859</v>
      </c>
      <c r="K18" s="17">
        <f ca="1">IF(ROI_Table[[#This Row],[Monthly kWh Bill]]&lt;0,((ROI_Table[[#This Row],[Service Charge]]*(1+Input!$N$14))*12),(SUM(ROI_Table[[#This Row],[Service Charge]],ROI_Table[[#This Row],[Monthly kWh Bill]])*(1+Input!$N$14))*12)</f>
        <v>2027.6008721809465</v>
      </c>
      <c r="L18" s="17">
        <f ca="1">ROI_Table[[#This Row],[Annual Non-Solar Bill]]-ROI_Table[[#This Row],[Annual Rooftop Bill]]</f>
        <v>992.30298167422575</v>
      </c>
      <c r="M18" s="76">
        <f ca="1">SUM(M17,ROI_Table[[#This Row],[Shared Solar Avoided Cost]])</f>
        <v>4237.8390383328706</v>
      </c>
      <c r="N18" s="17">
        <f ca="1">IF(ROI_Table[[#This Row],[Year]]&gt;1,SUM(N17,ROI_Table[[#This Row],[Rooftop Avoided Cost]]),SUM(-Input!$K$9,ROI_Table[[#This Row],[Rooftop Avoided Cost]]))</f>
        <v>4773.6222773204427</v>
      </c>
      <c r="O18" s="72">
        <f ca="1">IF(ROI_Table[[#This Row],[Year]]&gt;Input!$E$9,SUM(ROI_Table[[#This Row],[Rooftop Avoided Cost]],O17),IF(ROI_Table[[#This Row],[Year]]&gt;1,SUM(ROI_Table[[#This Row],[Rooftop Avoided Cost]],-Input!$K$11,O17),SUM(ROI_Table[[#This Row],[Rooftop Avoided Cost]],-SUM(Input!$K$7:$K$8,Input!$K$10:$K$11))))</f>
        <v>-3042.3013421351861</v>
      </c>
      <c r="P18" s="6"/>
      <c r="Q18" s="2" t="str">
        <f ca="1">IF(AND(ROI_Table[[#This Row],[Cash ROI]]&gt;1,$N17&lt;1),"Yes","No")</f>
        <v>No</v>
      </c>
      <c r="R18" s="2">
        <f>ROI_Table[[#This Row],[Year]]</f>
        <v>16</v>
      </c>
      <c r="S18" s="2"/>
      <c r="T18" s="2" t="str">
        <f ca="1">IF(AND(ROI_Table[[#This Row],[Financing ROI]]&gt;1,$O17&lt;1),"Yes","No")</f>
        <v>No</v>
      </c>
      <c r="U18" s="2">
        <f>ROI_Table[[#This Row],[Year]]</f>
        <v>16</v>
      </c>
    </row>
    <row r="19" spans="1:21" x14ac:dyDescent="0.25">
      <c r="A19" s="2">
        <v>17</v>
      </c>
      <c r="B19" s="12">
        <f>Input!$H$10*((1-((ROI_Table[[#This Row],[Year]]-1)*Input!$E$18)))</f>
        <v>-300.79576811594205</v>
      </c>
      <c r="C19" s="15">
        <f ca="1">VLOOKUP(SUM(ROI_Table[[#This Row],[Year]],Input!$E$12),Table33[#All],2,FALSE)</f>
        <v>22.473185529952609</v>
      </c>
      <c r="D19" s="16">
        <f ca="1">VLOOKUP(SUM(ROI_Table[[#This Row],[Year]],Input!$E$12),Table33[#All],3,FALSE)</f>
        <v>9.595880267007105E-2</v>
      </c>
      <c r="E19" s="16">
        <f ca="1">VLOOKUP(SUM(ROI_Table[[#This Row],[Year]],Input!$E$12),Table33[#All],4,FALSE)</f>
        <v>0.1332180107912839</v>
      </c>
      <c r="F19" s="16">
        <f ca="1">VLOOKUP(SUM(ROI_Table[[#This Row],[Year]],Input!$E$12),Table33[#All],5,FALSE)</f>
        <v>0.15805748287209248</v>
      </c>
      <c r="G19" s="17">
        <f ca="1">(SUM(ROI_Table[[#This Row],[Service Charge]],IF(Input!$H$6&lt;Input!$M$10,Input!$H$6*ROI_Table[[#This Row],[Block 1]],IF(Input!$H$6&lt;Input!$M$11,SUM(Input!$M$10*ROI_Table[[#This Row],[Block 1]],(Input!$H$6-Input!$M$10)*ROI_Table[[#This Row],[Block 2]]),SUM(Input!$M$10*ROI_Table[[#This Row],[Block 1]],Input!$M$10*ROI_Table[[#This Row],[Block 2]],(Input!$H$6-Input!$M$11)*ROI_Table[[#This Row],[Block 3]]))))*(1+Input!$N$14))*12</f>
        <v>3065.2024116629991</v>
      </c>
      <c r="H19" s="76">
        <f ca="1">(SUM(ROI_Table[[#This Row],[Service Charge]],Input!$M$8*Input!$N$8,IF(Input!$K$16&lt;Input!$M$10,Input!$K$16*ROI_Table[[#This Row],[Block 1]],IF(Input!$K$16&lt;Input!$M$11,SUM(Input!$M$10*ROI_Table[[#This Row],[Block 1]],(Input!$K$16-Input!$M$10)*ROI_Table[[#This Row],[Block 2]]),SUM(Input!$M$10*ROI_Table[[#This Row],[Block 1]],Input!$M$10*ROI_Table[[#This Row],[Block 2]],(Input!$K$16-Input!$M$11)*ROI_Table[[#This Row],[Block 3]]))))*(1+Input!$N$14))*12</f>
        <v>2653.9310865010084</v>
      </c>
      <c r="I19" s="17">
        <f ca="1">ROI_Table[[#This Row],[Annual Non-Solar Bill]]-ROI_Table[[#This Row],[Annual Shared Solar Bill]]</f>
        <v>411.27132516199072</v>
      </c>
      <c r="J19" s="71">
        <f ca="1">IF(ROI_Table[[#This Row],[Net Solar kWh]]&lt;0,SUM(ROI_Table[[#This Row],[Net Solar kWh]]*-Input!$N$13,IF(Input!$H$7&lt;Input!$M$10,Input!$H$7*ROI_Table[[#This Row],[Block 1]],IF(Input!$H$7&lt;Input!$M$11,SUM(Input!$M$10*ROI_Table[[#This Row],[Block 1]],(Input!$H$7-Input!$M$10)*ROI_Table[[#This Row],[Block 2]]),SUM(Input!$M$10*ROI_Table[[#This Row],[Block 1]],Input!$M$10*ROI_Table[[#This Row],[Block 2]],(Input!$H$7-Input!$M$11)*ROI_Table[[#This Row],[Block 3]])))),IF(SUM(ROI_Table[[#This Row],[Net Solar kWh]],Input!$H$7)&lt;Input!$M$10,SUM(ROI_Table[[#This Row],[Net Solar kWh]],Input!$H$7)*ROI_Table[[#This Row],[Block 1]],IF(SUM(ROI_Table[[#This Row],[Net Solar kWh]],Input!$H$7)&lt;Input!$M$11,SUM(Input!$M$10*ROI_Table[[#This Row],[Block 1]],(SUM(ROI_Table[[#This Row],[Net Solar kWh]],Input!$H$7)-Input!$M$10)*ROI_Table[[#This Row],[Block 2]]),SUM(Input!$M$10*ROI_Table[[#This Row],[Block 1]],Input!$M$10*ROI_Table[[#This Row],[Block 2]],(SUM(ROI_Table[[#This Row],[Net Solar kWh]],Input!$H$7)-Input!$M$11)*ROI_Table[[#This Row],[Block 3]]))))</f>
        <v>133.7177551070757</v>
      </c>
      <c r="K19" s="17">
        <f ca="1">IF(ROI_Table[[#This Row],[Monthly kWh Bill]]&lt;0,((ROI_Table[[#This Row],[Service Charge]]*(1+Input!$N$14))*12),(SUM(ROI_Table[[#This Row],[Service Charge]],ROI_Table[[#This Row],[Monthly kWh Bill]])*(1+Input!$N$14))*12)</f>
        <v>2064.5318533402401</v>
      </c>
      <c r="L19" s="17">
        <f ca="1">ROI_Table[[#This Row],[Annual Non-Solar Bill]]-ROI_Table[[#This Row],[Annual Rooftop Bill]]</f>
        <v>1000.670558322759</v>
      </c>
      <c r="M19" s="76">
        <f ca="1">SUM(M18,ROI_Table[[#This Row],[Shared Solar Avoided Cost]])</f>
        <v>4649.1103634948613</v>
      </c>
      <c r="N19" s="17">
        <f ca="1">IF(ROI_Table[[#This Row],[Year]]&gt;1,SUM(N18,ROI_Table[[#This Row],[Rooftop Avoided Cost]]),SUM(-Input!$K$9,ROI_Table[[#This Row],[Rooftop Avoided Cost]]))</f>
        <v>5774.2928356432021</v>
      </c>
      <c r="O19" s="72">
        <f ca="1">IF(ROI_Table[[#This Row],[Year]]&gt;Input!$E$9,SUM(ROI_Table[[#This Row],[Rooftop Avoided Cost]],O18),IF(ROI_Table[[#This Row],[Year]]&gt;1,SUM(ROI_Table[[#This Row],[Rooftop Avoided Cost]],-Input!$K$11,O18),SUM(ROI_Table[[#This Row],[Rooftop Avoided Cost]],-SUM(Input!$K$7:$K$8,Input!$K$10:$K$11))))</f>
        <v>-2041.6307838124271</v>
      </c>
      <c r="P19" s="6"/>
      <c r="Q19" s="2" t="str">
        <f ca="1">IF(AND(ROI_Table[[#This Row],[Cash ROI]]&gt;1,$N18&lt;1),"Yes","No")</f>
        <v>No</v>
      </c>
      <c r="R19" s="2">
        <f>ROI_Table[[#This Row],[Year]]</f>
        <v>17</v>
      </c>
      <c r="S19" s="2"/>
      <c r="T19" s="2" t="str">
        <f ca="1">IF(AND(ROI_Table[[#This Row],[Financing ROI]]&gt;1,$O18&lt;1),"Yes","No")</f>
        <v>No</v>
      </c>
      <c r="U19" s="2">
        <f>ROI_Table[[#This Row],[Year]]</f>
        <v>17</v>
      </c>
    </row>
    <row r="20" spans="1:21" x14ac:dyDescent="0.25">
      <c r="A20" s="2">
        <v>18</v>
      </c>
      <c r="B20" s="12">
        <f>Input!$H$10*((1-((ROI_Table[[#This Row],[Year]]-1)*Input!$E$18)))</f>
        <v>-298.03617391304351</v>
      </c>
      <c r="C20" s="15">
        <f ca="1">VLOOKUP(SUM(ROI_Table[[#This Row],[Year]],Input!$E$12),Table33[#All],2,FALSE)</f>
        <v>22.810283312901895</v>
      </c>
      <c r="D20" s="16">
        <f ca="1">VLOOKUP(SUM(ROI_Table[[#This Row],[Year]],Input!$E$12),Table33[#All],3,FALSE)</f>
        <v>9.7398184710122113E-2</v>
      </c>
      <c r="E20" s="16">
        <f ca="1">VLOOKUP(SUM(ROI_Table[[#This Row],[Year]],Input!$E$12),Table33[#All],4,FALSE)</f>
        <v>0.13521628095315313</v>
      </c>
      <c r="F20" s="16">
        <f ca="1">VLOOKUP(SUM(ROI_Table[[#This Row],[Year]],Input!$E$12),Table33[#All],5,FALSE)</f>
        <v>0.16042834511517384</v>
      </c>
      <c r="G20" s="17">
        <f ca="1">(SUM(ROI_Table[[#This Row],[Service Charge]],IF(Input!$H$6&lt;Input!$M$10,Input!$H$6*ROI_Table[[#This Row],[Block 1]],IF(Input!$H$6&lt;Input!$M$11,SUM(Input!$M$10*ROI_Table[[#This Row],[Block 1]],(Input!$H$6-Input!$M$10)*ROI_Table[[#This Row],[Block 2]]),SUM(Input!$M$10*ROI_Table[[#This Row],[Block 1]],Input!$M$10*ROI_Table[[#This Row],[Block 2]],(Input!$H$6-Input!$M$11)*ROI_Table[[#This Row],[Block 3]]))))*(1+Input!$N$14))*12</f>
        <v>3111.1804478379436</v>
      </c>
      <c r="H20" s="76">
        <f ca="1">(SUM(ROI_Table[[#This Row],[Service Charge]],Input!$M$8*Input!$N$8,IF(Input!$K$16&lt;Input!$M$10,Input!$K$16*ROI_Table[[#This Row],[Block 1]],IF(Input!$K$16&lt;Input!$M$11,SUM(Input!$M$10*ROI_Table[[#This Row],[Block 1]],(Input!$K$16-Input!$M$10)*ROI_Table[[#This Row],[Block 2]]),SUM(Input!$M$10*ROI_Table[[#This Row],[Block 1]],Input!$M$10*ROI_Table[[#This Row],[Block 2]],(Input!$K$16-Input!$M$11)*ROI_Table[[#This Row],[Block 3]]))))*(1+Input!$N$14))*12</f>
        <v>2681.1062883985232</v>
      </c>
      <c r="I20" s="17">
        <f ca="1">ROI_Table[[#This Row],[Annual Non-Solar Bill]]-ROI_Table[[#This Row],[Annual Shared Solar Bill]]</f>
        <v>430.07415943942033</v>
      </c>
      <c r="J20" s="71">
        <f ca="1">IF(ROI_Table[[#This Row],[Net Solar kWh]]&lt;0,SUM(ROI_Table[[#This Row],[Net Solar kWh]]*-Input!$N$13,IF(Input!$H$7&lt;Input!$M$10,Input!$H$7*ROI_Table[[#This Row],[Block 1]],IF(Input!$H$7&lt;Input!$M$11,SUM(Input!$M$10*ROI_Table[[#This Row],[Block 1]],(Input!$H$7-Input!$M$10)*ROI_Table[[#This Row],[Block 2]]),SUM(Input!$M$10*ROI_Table[[#This Row],[Block 1]],Input!$M$10*ROI_Table[[#This Row],[Block 2]],(Input!$H$7-Input!$M$11)*ROI_Table[[#This Row],[Block 3]])))),IF(SUM(ROI_Table[[#This Row],[Net Solar kWh]],Input!$H$7)&lt;Input!$M$10,SUM(ROI_Table[[#This Row],[Net Solar kWh]],Input!$H$7)*ROI_Table[[#This Row],[Block 1]],IF(SUM(ROI_Table[[#This Row],[Net Solar kWh]],Input!$H$7)&lt;Input!$M$11,SUM(Input!$M$10*ROI_Table[[#This Row],[Block 1]],(SUM(ROI_Table[[#This Row],[Net Solar kWh]],Input!$H$7)-Input!$M$10)*ROI_Table[[#This Row],[Block 2]]),SUM(Input!$M$10*ROI_Table[[#This Row],[Block 1]],Input!$M$10*ROI_Table[[#This Row],[Block 2]],(SUM(ROI_Table[[#This Row],[Net Solar kWh]],Input!$H$7)-Input!$M$11)*ROI_Table[[#This Row],[Block 3]]))))</f>
        <v>136.21376803513689</v>
      </c>
      <c r="K20" s="17">
        <f ca="1">IF(ROI_Table[[#This Row],[Monthly kWh Bill]]&lt;0,((ROI_Table[[#This Row],[Service Charge]]*(1+Input!$N$14))*12),(SUM(ROI_Table[[#This Row],[Service Charge]],ROI_Table[[#This Row],[Monthly kWh Bill]])*(1+Input!$N$14))*12)</f>
        <v>2101.9799107183767</v>
      </c>
      <c r="L20" s="17">
        <f ca="1">ROI_Table[[#This Row],[Annual Non-Solar Bill]]-ROI_Table[[#This Row],[Annual Rooftop Bill]]</f>
        <v>1009.2005371195669</v>
      </c>
      <c r="M20" s="76">
        <f ca="1">SUM(M19,ROI_Table[[#This Row],[Shared Solar Avoided Cost]])</f>
        <v>5079.1845229342816</v>
      </c>
      <c r="N20" s="17">
        <f ca="1">IF(ROI_Table[[#This Row],[Year]]&gt;1,SUM(N19,ROI_Table[[#This Row],[Rooftop Avoided Cost]]),SUM(-Input!$K$9,ROI_Table[[#This Row],[Rooftop Avoided Cost]]))</f>
        <v>6783.4933727627686</v>
      </c>
      <c r="O20" s="72">
        <f ca="1">IF(ROI_Table[[#This Row],[Year]]&gt;Input!$E$9,SUM(ROI_Table[[#This Row],[Rooftop Avoided Cost]],O19),IF(ROI_Table[[#This Row],[Year]]&gt;1,SUM(ROI_Table[[#This Row],[Rooftop Avoided Cost]],-Input!$K$11,O19),SUM(ROI_Table[[#This Row],[Rooftop Avoided Cost]],-SUM(Input!$K$7:$K$8,Input!$K$10:$K$11))))</f>
        <v>-1032.4302466928602</v>
      </c>
      <c r="P20" s="6"/>
      <c r="Q20" s="2" t="str">
        <f ca="1">IF(AND(ROI_Table[[#This Row],[Cash ROI]]&gt;1,$N19&lt;1),"Yes","No")</f>
        <v>No</v>
      </c>
      <c r="R20" s="2">
        <f>ROI_Table[[#This Row],[Year]]</f>
        <v>18</v>
      </c>
      <c r="S20" s="2"/>
      <c r="T20" s="2" t="str">
        <f ca="1">IF(AND(ROI_Table[[#This Row],[Financing ROI]]&gt;1,$O19&lt;1),"Yes","No")</f>
        <v>No</v>
      </c>
      <c r="U20" s="2">
        <f>ROI_Table[[#This Row],[Year]]</f>
        <v>18</v>
      </c>
    </row>
    <row r="21" spans="1:21" x14ac:dyDescent="0.25">
      <c r="A21" s="2">
        <v>19</v>
      </c>
      <c r="B21" s="12">
        <f>Input!$H$10*((1-((ROI_Table[[#This Row],[Year]]-1)*Input!$E$18)))</f>
        <v>-295.27657971014497</v>
      </c>
      <c r="C21" s="15">
        <f ca="1">VLOOKUP(SUM(ROI_Table[[#This Row],[Year]],Input!$E$12),Table33[#All],2,FALSE)</f>
        <v>23.15243756259542</v>
      </c>
      <c r="D21" s="16">
        <f ca="1">VLOOKUP(SUM(ROI_Table[[#This Row],[Year]],Input!$E$12),Table33[#All],3,FALSE)</f>
        <v>9.8859157480773938E-2</v>
      </c>
      <c r="E21" s="16">
        <f ca="1">VLOOKUP(SUM(ROI_Table[[#This Row],[Year]],Input!$E$12),Table33[#All],4,FALSE)</f>
        <v>0.13724452516745042</v>
      </c>
      <c r="F21" s="16">
        <f ca="1">VLOOKUP(SUM(ROI_Table[[#This Row],[Year]],Input!$E$12),Table33[#All],5,FALSE)</f>
        <v>0.16283477029190144</v>
      </c>
      <c r="G21" s="17">
        <f ca="1">(SUM(ROI_Table[[#This Row],[Service Charge]],IF(Input!$H$6&lt;Input!$M$10,Input!$H$6*ROI_Table[[#This Row],[Block 1]],IF(Input!$H$6&lt;Input!$M$11,SUM(Input!$M$10*ROI_Table[[#This Row],[Block 1]],(Input!$H$6-Input!$M$10)*ROI_Table[[#This Row],[Block 2]]),SUM(Input!$M$10*ROI_Table[[#This Row],[Block 1]],Input!$M$10*ROI_Table[[#This Row],[Block 2]],(Input!$H$6-Input!$M$11)*ROI_Table[[#This Row],[Block 3]]))))*(1+Input!$N$14))*12</f>
        <v>3157.8481545555128</v>
      </c>
      <c r="H21" s="76">
        <f ca="1">(SUM(ROI_Table[[#This Row],[Service Charge]],Input!$M$8*Input!$N$8,IF(Input!$K$16&lt;Input!$M$10,Input!$K$16*ROI_Table[[#This Row],[Block 1]],IF(Input!$K$16&lt;Input!$M$11,SUM(Input!$M$10*ROI_Table[[#This Row],[Block 1]],(Input!$K$16-Input!$M$10)*ROI_Table[[#This Row],[Block 2]]),SUM(Input!$M$10*ROI_Table[[#This Row],[Block 1]],Input!$M$10*ROI_Table[[#This Row],[Block 2]],(Input!$K$16-Input!$M$11)*ROI_Table[[#This Row],[Block 3]]))))*(1+Input!$N$14))*12</f>
        <v>2708.6891183245011</v>
      </c>
      <c r="I21" s="17">
        <f ca="1">ROI_Table[[#This Row],[Annual Non-Solar Bill]]-ROI_Table[[#This Row],[Annual Shared Solar Bill]]</f>
        <v>449.15903623101167</v>
      </c>
      <c r="J21" s="71">
        <f ca="1">IF(ROI_Table[[#This Row],[Net Solar kWh]]&lt;0,SUM(ROI_Table[[#This Row],[Net Solar kWh]]*-Input!$N$13,IF(Input!$H$7&lt;Input!$M$10,Input!$H$7*ROI_Table[[#This Row],[Block 1]],IF(Input!$H$7&lt;Input!$M$11,SUM(Input!$M$10*ROI_Table[[#This Row],[Block 1]],(Input!$H$7-Input!$M$10)*ROI_Table[[#This Row],[Block 2]]),SUM(Input!$M$10*ROI_Table[[#This Row],[Block 1]],Input!$M$10*ROI_Table[[#This Row],[Block 2]],(Input!$H$7-Input!$M$11)*ROI_Table[[#This Row],[Block 3]])))),IF(SUM(ROI_Table[[#This Row],[Net Solar kWh]],Input!$H$7)&lt;Input!$M$10,SUM(ROI_Table[[#This Row],[Net Solar kWh]],Input!$H$7)*ROI_Table[[#This Row],[Block 1]],IF(SUM(ROI_Table[[#This Row],[Net Solar kWh]],Input!$H$7)&lt;Input!$M$11,SUM(Input!$M$10*ROI_Table[[#This Row],[Block 1]],(SUM(ROI_Table[[#This Row],[Net Solar kWh]],Input!$H$7)-Input!$M$10)*ROI_Table[[#This Row],[Block 2]]),SUM(Input!$M$10*ROI_Table[[#This Row],[Block 1]],Input!$M$10*ROI_Table[[#This Row],[Block 2]],(SUM(ROI_Table[[#This Row],[Net Solar kWh]],Input!$H$7)-Input!$M$11)*ROI_Table[[#This Row],[Block 3]]))))</f>
        <v>138.74443037950164</v>
      </c>
      <c r="K21" s="17">
        <f ca="1">IF(ROI_Table[[#This Row],[Monthly kWh Bill]]&lt;0,((ROI_Table[[#This Row],[Service Charge]]*(1+Input!$N$14))*12),(SUM(ROI_Table[[#This Row],[Service Charge]],ROI_Table[[#This Row],[Monthly kWh Bill]])*(1+Input!$N$14))*12)</f>
        <v>2139.9528004586386</v>
      </c>
      <c r="L21" s="17">
        <f ca="1">ROI_Table[[#This Row],[Annual Non-Solar Bill]]-ROI_Table[[#This Row],[Annual Rooftop Bill]]</f>
        <v>1017.8953540968741</v>
      </c>
      <c r="M21" s="76">
        <f ca="1">SUM(M20,ROI_Table[[#This Row],[Shared Solar Avoided Cost]])</f>
        <v>5528.3435591652933</v>
      </c>
      <c r="N21" s="17">
        <f ca="1">IF(ROI_Table[[#This Row],[Year]]&gt;1,SUM(N20,ROI_Table[[#This Row],[Rooftop Avoided Cost]]),SUM(-Input!$K$9,ROI_Table[[#This Row],[Rooftop Avoided Cost]]))</f>
        <v>7801.3887268596427</v>
      </c>
      <c r="O21" s="72">
        <f ca="1">IF(ROI_Table[[#This Row],[Year]]&gt;Input!$E$9,SUM(ROI_Table[[#This Row],[Rooftop Avoided Cost]],O20),IF(ROI_Table[[#This Row],[Year]]&gt;1,SUM(ROI_Table[[#This Row],[Rooftop Avoided Cost]],-Input!$K$11,O20),SUM(ROI_Table[[#This Row],[Rooftop Avoided Cost]],-SUM(Input!$K$7:$K$8,Input!$K$10:$K$11))))</f>
        <v>-14.534892595986094</v>
      </c>
      <c r="P21" s="6"/>
      <c r="Q21" s="2" t="str">
        <f ca="1">IF(AND(ROI_Table[[#This Row],[Cash ROI]]&gt;1,$N20&lt;1),"Yes","No")</f>
        <v>No</v>
      </c>
      <c r="R21" s="2">
        <f>ROI_Table[[#This Row],[Year]]</f>
        <v>19</v>
      </c>
      <c r="S21" s="2"/>
      <c r="T21" s="2" t="str">
        <f ca="1">IF(AND(ROI_Table[[#This Row],[Financing ROI]]&gt;1,$O20&lt;1),"Yes","No")</f>
        <v>No</v>
      </c>
      <c r="U21" s="2">
        <f>ROI_Table[[#This Row],[Year]]</f>
        <v>19</v>
      </c>
    </row>
    <row r="22" spans="1:21" x14ac:dyDescent="0.25">
      <c r="A22" s="2">
        <v>20</v>
      </c>
      <c r="B22" s="12">
        <f>Input!$H$10*((1-((ROI_Table[[#This Row],[Year]]-1)*Input!$E$18)))</f>
        <v>-292.51698550724637</v>
      </c>
      <c r="C22" s="15">
        <f ca="1">VLOOKUP(SUM(ROI_Table[[#This Row],[Year]],Input!$E$12),Table33[#All],2,FALSE)</f>
        <v>23.499724126034348</v>
      </c>
      <c r="D22" s="16">
        <f ca="1">VLOOKUP(SUM(ROI_Table[[#This Row],[Year]],Input!$E$12),Table33[#All],3,FALSE)</f>
        <v>0.10034204484298553</v>
      </c>
      <c r="E22" s="16">
        <f ca="1">VLOOKUP(SUM(ROI_Table[[#This Row],[Year]],Input!$E$12),Table33[#All],4,FALSE)</f>
        <v>0.13930319304496216</v>
      </c>
      <c r="F22" s="16">
        <f ca="1">VLOOKUP(SUM(ROI_Table[[#This Row],[Year]],Input!$E$12),Table33[#All],5,FALSE)</f>
        <v>0.16527729184627996</v>
      </c>
      <c r="G22" s="17">
        <f ca="1">(SUM(ROI_Table[[#This Row],[Service Charge]],IF(Input!$H$6&lt;Input!$M$10,Input!$H$6*ROI_Table[[#This Row],[Block 1]],IF(Input!$H$6&lt;Input!$M$11,SUM(Input!$M$10*ROI_Table[[#This Row],[Block 1]],(Input!$H$6-Input!$M$10)*ROI_Table[[#This Row],[Block 2]]),SUM(Input!$M$10*ROI_Table[[#This Row],[Block 1]],Input!$M$10*ROI_Table[[#This Row],[Block 2]],(Input!$H$6-Input!$M$11)*ROI_Table[[#This Row],[Block 3]]))))*(1+Input!$N$14))*12</f>
        <v>3205.2158768738454</v>
      </c>
      <c r="H22" s="76">
        <f ca="1">(SUM(ROI_Table[[#This Row],[Service Charge]],Input!$M$8*Input!$N$8,IF(Input!$K$16&lt;Input!$M$10,Input!$K$16*ROI_Table[[#This Row],[Block 1]],IF(Input!$K$16&lt;Input!$M$11,SUM(Input!$M$10*ROI_Table[[#This Row],[Block 1]],(Input!$K$16-Input!$M$10)*ROI_Table[[#This Row],[Block 2]]),SUM(Input!$M$10*ROI_Table[[#This Row],[Block 1]],Input!$M$10*ROI_Table[[#This Row],[Block 2]],(Input!$K$16-Input!$M$11)*ROI_Table[[#This Row],[Block 3]]))))*(1+Input!$N$14))*12</f>
        <v>2736.685690699368</v>
      </c>
      <c r="I22" s="17">
        <f ca="1">ROI_Table[[#This Row],[Annual Non-Solar Bill]]-ROI_Table[[#This Row],[Annual Shared Solar Bill]]</f>
        <v>468.53018617447742</v>
      </c>
      <c r="J22" s="71">
        <f ca="1">IF(ROI_Table[[#This Row],[Net Solar kWh]]&lt;0,SUM(ROI_Table[[#This Row],[Net Solar kWh]]*-Input!$N$13,IF(Input!$H$7&lt;Input!$M$10,Input!$H$7*ROI_Table[[#This Row],[Block 1]],IF(Input!$H$7&lt;Input!$M$11,SUM(Input!$M$10*ROI_Table[[#This Row],[Block 1]],(Input!$H$7-Input!$M$10)*ROI_Table[[#This Row],[Block 2]]),SUM(Input!$M$10*ROI_Table[[#This Row],[Block 1]],Input!$M$10*ROI_Table[[#This Row],[Block 2]],(Input!$H$7-Input!$M$11)*ROI_Table[[#This Row],[Block 3]])))),IF(SUM(ROI_Table[[#This Row],[Net Solar kWh]],Input!$H$7)&lt;Input!$M$10,SUM(ROI_Table[[#This Row],[Net Solar kWh]],Input!$H$7)*ROI_Table[[#This Row],[Block 1]],IF(SUM(ROI_Table[[#This Row],[Net Solar kWh]],Input!$H$7)&lt;Input!$M$11,SUM(Input!$M$10*ROI_Table[[#This Row],[Block 1]],(SUM(ROI_Table[[#This Row],[Net Solar kWh]],Input!$H$7)-Input!$M$10)*ROI_Table[[#This Row],[Block 2]]),SUM(Input!$M$10*ROI_Table[[#This Row],[Block 1]],Input!$M$10*ROI_Table[[#This Row],[Block 2]],(SUM(ROI_Table[[#This Row],[Net Solar kWh]],Input!$H$7)-Input!$M$11)*ROI_Table[[#This Row],[Block 3]]))))</f>
        <v>141.31026188141442</v>
      </c>
      <c r="K22" s="17">
        <f ca="1">IF(ROI_Table[[#This Row],[Monthly kWh Bill]]&lt;0,((ROI_Table[[#This Row],[Service Charge]]*(1+Input!$N$14))*12),(SUM(ROI_Table[[#This Row],[Service Charge]],ROI_Table[[#This Row],[Monthly kWh Bill]])*(1+Input!$N$14))*12)</f>
        <v>2178.4583950464576</v>
      </c>
      <c r="L22" s="17">
        <f ca="1">ROI_Table[[#This Row],[Annual Non-Solar Bill]]-ROI_Table[[#This Row],[Annual Rooftop Bill]]</f>
        <v>1026.7574818273879</v>
      </c>
      <c r="M22" s="76">
        <f ca="1">SUM(M21,ROI_Table[[#This Row],[Shared Solar Avoided Cost]])</f>
        <v>5996.8737453397707</v>
      </c>
      <c r="N22" s="17">
        <f ca="1">IF(ROI_Table[[#This Row],[Year]]&gt;1,SUM(N21,ROI_Table[[#This Row],[Rooftop Avoided Cost]]),SUM(-Input!$K$9,ROI_Table[[#This Row],[Rooftop Avoided Cost]]))</f>
        <v>8828.1462086870306</v>
      </c>
      <c r="O22" s="72">
        <f ca="1">IF(ROI_Table[[#This Row],[Year]]&gt;Input!$E$9,SUM(ROI_Table[[#This Row],[Rooftop Avoided Cost]],O21),IF(ROI_Table[[#This Row],[Year]]&gt;1,SUM(ROI_Table[[#This Row],[Rooftop Avoided Cost]],-Input!$K$11,O21),SUM(ROI_Table[[#This Row],[Rooftop Avoided Cost]],-SUM(Input!$K$7:$K$8,Input!$K$10:$K$11))))</f>
        <v>1012.2225892314018</v>
      </c>
      <c r="P22" s="6"/>
      <c r="Q22" s="2" t="str">
        <f ca="1">IF(AND(ROI_Table[[#This Row],[Cash ROI]]&gt;1,$N21&lt;1),"Yes","No")</f>
        <v>No</v>
      </c>
      <c r="R22" s="2">
        <f>ROI_Table[[#This Row],[Year]]</f>
        <v>20</v>
      </c>
      <c r="S22" s="2"/>
      <c r="T22" s="2" t="str">
        <f ca="1">IF(AND(ROI_Table[[#This Row],[Financing ROI]]&gt;1,$O21&lt;1),"Yes","No")</f>
        <v>Yes</v>
      </c>
      <c r="U22" s="2">
        <f>ROI_Table[[#This Row],[Year]]</f>
        <v>20</v>
      </c>
    </row>
    <row r="23" spans="1:21" x14ac:dyDescent="0.25">
      <c r="A23" s="2">
        <v>21</v>
      </c>
      <c r="B23" s="12">
        <f>Input!$H$10*((1-((ROI_Table[[#This Row],[Year]]-1)*Input!$E$18)))</f>
        <v>-289.75739130434783</v>
      </c>
      <c r="C23" s="15">
        <f ca="1">VLOOKUP(SUM(ROI_Table[[#This Row],[Year]],Input!$E$12),Table33[#All],2,FALSE)</f>
        <v>23.852219987924862</v>
      </c>
      <c r="D23" s="16">
        <f ca="1">VLOOKUP(SUM(ROI_Table[[#This Row],[Year]],Input!$E$12),Table33[#All],3,FALSE)</f>
        <v>0.1018471755156303</v>
      </c>
      <c r="E23" s="16">
        <f ca="1">VLOOKUP(SUM(ROI_Table[[#This Row],[Year]],Input!$E$12),Table33[#All],4,FALSE)</f>
        <v>0.14139274094063659</v>
      </c>
      <c r="F23" s="16">
        <f ca="1">VLOOKUP(SUM(ROI_Table[[#This Row],[Year]],Input!$E$12),Table33[#All],5,FALSE)</f>
        <v>0.16775645122397415</v>
      </c>
      <c r="G23" s="17">
        <f ca="1">(SUM(ROI_Table[[#This Row],[Service Charge]],IF(Input!$H$6&lt;Input!$M$10,Input!$H$6*ROI_Table[[#This Row],[Block 1]],IF(Input!$H$6&lt;Input!$M$11,SUM(Input!$M$10*ROI_Table[[#This Row],[Block 1]],(Input!$H$6-Input!$M$10)*ROI_Table[[#This Row],[Block 2]]),SUM(Input!$M$10*ROI_Table[[#This Row],[Block 1]],Input!$M$10*ROI_Table[[#This Row],[Block 2]],(Input!$H$6-Input!$M$11)*ROI_Table[[#This Row],[Block 3]]))))*(1+Input!$N$14))*12</f>
        <v>3253.2941150269526</v>
      </c>
      <c r="H23" s="76">
        <f ca="1">(SUM(ROI_Table[[#This Row],[Service Charge]],Input!$M$8*Input!$N$8,IF(Input!$K$16&lt;Input!$M$10,Input!$K$16*ROI_Table[[#This Row],[Block 1]],IF(Input!$K$16&lt;Input!$M$11,SUM(Input!$M$10*ROI_Table[[#This Row],[Block 1]],(Input!$K$16-Input!$M$10)*ROI_Table[[#This Row],[Block 2]]),SUM(Input!$M$10*ROI_Table[[#This Row],[Block 1]],Input!$M$10*ROI_Table[[#This Row],[Block 2]],(Input!$K$16-Input!$M$11)*ROI_Table[[#This Row],[Block 3]]))))*(1+Input!$N$14))*12</f>
        <v>2765.1022116598583</v>
      </c>
      <c r="I23" s="17">
        <f ca="1">ROI_Table[[#This Row],[Annual Non-Solar Bill]]-ROI_Table[[#This Row],[Annual Shared Solar Bill]]</f>
        <v>488.19190336709426</v>
      </c>
      <c r="J23" s="71">
        <f ca="1">IF(ROI_Table[[#This Row],[Net Solar kWh]]&lt;0,SUM(ROI_Table[[#This Row],[Net Solar kWh]]*-Input!$N$13,IF(Input!$H$7&lt;Input!$M$10,Input!$H$7*ROI_Table[[#This Row],[Block 1]],IF(Input!$H$7&lt;Input!$M$11,SUM(Input!$M$10*ROI_Table[[#This Row],[Block 1]],(Input!$H$7-Input!$M$10)*ROI_Table[[#This Row],[Block 2]]),SUM(Input!$M$10*ROI_Table[[#This Row],[Block 1]],Input!$M$10*ROI_Table[[#This Row],[Block 2]],(Input!$H$7-Input!$M$11)*ROI_Table[[#This Row],[Block 3]])))),IF(SUM(ROI_Table[[#This Row],[Net Solar kWh]],Input!$H$7)&lt;Input!$M$10,SUM(ROI_Table[[#This Row],[Net Solar kWh]],Input!$H$7)*ROI_Table[[#This Row],[Block 1]],IF(SUM(ROI_Table[[#This Row],[Net Solar kWh]],Input!$H$7)&lt;Input!$M$11,SUM(Input!$M$10*ROI_Table[[#This Row],[Block 1]],(SUM(ROI_Table[[#This Row],[Net Solar kWh]],Input!$H$7)-Input!$M$10)*ROI_Table[[#This Row],[Block 2]]),SUM(Input!$M$10*ROI_Table[[#This Row],[Block 1]],Input!$M$10*ROI_Table[[#This Row],[Block 2]],(SUM(ROI_Table[[#This Row],[Net Solar kWh]],Input!$H$7)-Input!$M$11)*ROI_Table[[#This Row],[Block 3]]))))</f>
        <v>143.91179007823851</v>
      </c>
      <c r="K23" s="17">
        <f ca="1">IF(ROI_Table[[#This Row],[Monthly kWh Bill]]&lt;0,((ROI_Table[[#This Row],[Service Charge]]*(1+Input!$N$14))*12),(SUM(ROI_Table[[#This Row],[Service Charge]],ROI_Table[[#This Row],[Monthly kWh Bill]])*(1+Input!$N$14))*12)</f>
        <v>2217.5046850545473</v>
      </c>
      <c r="L23" s="17">
        <f ca="1">ROI_Table[[#This Row],[Annual Non-Solar Bill]]-ROI_Table[[#This Row],[Annual Rooftop Bill]]</f>
        <v>1035.7894299724053</v>
      </c>
      <c r="M23" s="76">
        <f ca="1">SUM(M22,ROI_Table[[#This Row],[Shared Solar Avoided Cost]])</f>
        <v>6485.0656487068645</v>
      </c>
      <c r="N23" s="17">
        <f ca="1">IF(ROI_Table[[#This Row],[Year]]&gt;1,SUM(N22,ROI_Table[[#This Row],[Rooftop Avoided Cost]]),SUM(-Input!$K$9,ROI_Table[[#This Row],[Rooftop Avoided Cost]]))</f>
        <v>9863.9356386594354</v>
      </c>
      <c r="O23" s="72">
        <f ca="1">IF(ROI_Table[[#This Row],[Year]]&gt;Input!$E$9,SUM(ROI_Table[[#This Row],[Rooftop Avoided Cost]],O22),IF(ROI_Table[[#This Row],[Year]]&gt;1,SUM(ROI_Table[[#This Row],[Rooftop Avoided Cost]],-Input!$K$11,O22),SUM(ROI_Table[[#This Row],[Rooftop Avoided Cost]],-SUM(Input!$K$7:$K$8,Input!$K$10:$K$11))))</f>
        <v>2048.0120192038071</v>
      </c>
      <c r="P23" s="6"/>
      <c r="Q23" s="2" t="str">
        <f ca="1">IF(AND(ROI_Table[[#This Row],[Cash ROI]]&gt;1,$N22&lt;1),"Yes","No")</f>
        <v>No</v>
      </c>
      <c r="R23" s="2">
        <f>ROI_Table[[#This Row],[Year]]</f>
        <v>21</v>
      </c>
      <c r="S23" s="2"/>
      <c r="T23" s="2" t="str">
        <f ca="1">IF(AND(ROI_Table[[#This Row],[Financing ROI]]&gt;1,$O22&lt;1),"Yes","No")</f>
        <v>No</v>
      </c>
      <c r="U23" s="2">
        <f>ROI_Table[[#This Row],[Year]]</f>
        <v>21</v>
      </c>
    </row>
    <row r="24" spans="1:21" x14ac:dyDescent="0.25">
      <c r="A24" s="2">
        <v>22</v>
      </c>
      <c r="B24" s="12">
        <f>Input!$H$10*((1-((ROI_Table[[#This Row],[Year]]-1)*Input!$E$18)))</f>
        <v>-286.99779710144929</v>
      </c>
      <c r="C24" s="15">
        <f ca="1">VLOOKUP(SUM(ROI_Table[[#This Row],[Year]],Input!$E$12),Table33[#All],2,FALSE)</f>
        <v>24.210003287743731</v>
      </c>
      <c r="D24" s="16">
        <f ca="1">VLOOKUP(SUM(ROI_Table[[#This Row],[Year]],Input!$E$12),Table33[#All],3,FALSE)</f>
        <v>0.10337488314836475</v>
      </c>
      <c r="E24" s="16">
        <f ca="1">VLOOKUP(SUM(ROI_Table[[#This Row],[Year]],Input!$E$12),Table33[#All],4,FALSE)</f>
        <v>0.14351363205474613</v>
      </c>
      <c r="F24" s="16">
        <f ca="1">VLOOKUP(SUM(ROI_Table[[#This Row],[Year]],Input!$E$12),Table33[#All],5,FALSE)</f>
        <v>0.17027279799233375</v>
      </c>
      <c r="G24" s="17">
        <f ca="1">(SUM(ROI_Table[[#This Row],[Service Charge]],IF(Input!$H$6&lt;Input!$M$10,Input!$H$6*ROI_Table[[#This Row],[Block 1]],IF(Input!$H$6&lt;Input!$M$11,SUM(Input!$M$10*ROI_Table[[#This Row],[Block 1]],(Input!$H$6-Input!$M$10)*ROI_Table[[#This Row],[Block 2]]),SUM(Input!$M$10*ROI_Table[[#This Row],[Block 1]],Input!$M$10*ROI_Table[[#This Row],[Block 2]],(Input!$H$6-Input!$M$11)*ROI_Table[[#This Row],[Block 3]]))))*(1+Input!$N$14))*12</f>
        <v>3302.0935267523564</v>
      </c>
      <c r="H24" s="76">
        <f ca="1">(SUM(ROI_Table[[#This Row],[Service Charge]],Input!$M$8*Input!$N$8,IF(Input!$K$16&lt;Input!$M$10,Input!$K$16*ROI_Table[[#This Row],[Block 1]],IF(Input!$K$16&lt;Input!$M$11,SUM(Input!$M$10*ROI_Table[[#This Row],[Block 1]],(Input!$K$16-Input!$M$10)*ROI_Table[[#This Row],[Block 2]]),SUM(Input!$M$10*ROI_Table[[#This Row],[Block 1]],Input!$M$10*ROI_Table[[#This Row],[Block 2]],(Input!$K$16-Input!$M$11)*ROI_Table[[#This Row],[Block 3]]))))*(1+Input!$N$14))*12</f>
        <v>2793.944980434756</v>
      </c>
      <c r="I24" s="17">
        <f ca="1">ROI_Table[[#This Row],[Annual Non-Solar Bill]]-ROI_Table[[#This Row],[Annual Shared Solar Bill]]</f>
        <v>508.14854631760045</v>
      </c>
      <c r="J24" s="71">
        <f ca="1">IF(ROI_Table[[#This Row],[Net Solar kWh]]&lt;0,SUM(ROI_Table[[#This Row],[Net Solar kWh]]*-Input!$N$13,IF(Input!$H$7&lt;Input!$M$10,Input!$H$7*ROI_Table[[#This Row],[Block 1]],IF(Input!$H$7&lt;Input!$M$11,SUM(Input!$M$10*ROI_Table[[#This Row],[Block 1]],(Input!$H$7-Input!$M$10)*ROI_Table[[#This Row],[Block 2]]),SUM(Input!$M$10*ROI_Table[[#This Row],[Block 1]],Input!$M$10*ROI_Table[[#This Row],[Block 2]],(Input!$H$7-Input!$M$11)*ROI_Table[[#This Row],[Block 3]])))),IF(SUM(ROI_Table[[#This Row],[Net Solar kWh]],Input!$H$7)&lt;Input!$M$10,SUM(ROI_Table[[#This Row],[Net Solar kWh]],Input!$H$7)*ROI_Table[[#This Row],[Block 1]],IF(SUM(ROI_Table[[#This Row],[Net Solar kWh]],Input!$H$7)&lt;Input!$M$11,SUM(Input!$M$10*ROI_Table[[#This Row],[Block 1]],(SUM(ROI_Table[[#This Row],[Net Solar kWh]],Input!$H$7)-Input!$M$10)*ROI_Table[[#This Row],[Block 2]]),SUM(Input!$M$10*ROI_Table[[#This Row],[Block 1]],Input!$M$10*ROI_Table[[#This Row],[Block 2]],(SUM(ROI_Table[[#This Row],[Net Solar kWh]],Input!$H$7)-Input!$M$11)*ROI_Table[[#This Row],[Block 3]]))))</f>
        <v>146.54955042039762</v>
      </c>
      <c r="K24" s="17">
        <f ca="1">IF(ROI_Table[[#This Row],[Monthly kWh Bill]]&lt;0,((ROI_Table[[#This Row],[Service Charge]]*(1+Input!$N$14))*12),(SUM(ROI_Table[[#This Row],[Service Charge]],ROI_Table[[#This Row],[Monthly kWh Bill]])*(1+Input!$N$14))*12)</f>
        <v>2257.0997809142127</v>
      </c>
      <c r="L24" s="17">
        <f ca="1">ROI_Table[[#This Row],[Annual Non-Solar Bill]]-ROI_Table[[#This Row],[Annual Rooftop Bill]]</f>
        <v>1044.9937458381437</v>
      </c>
      <c r="M24" s="76">
        <f ca="1">SUM(M23,ROI_Table[[#This Row],[Shared Solar Avoided Cost]])</f>
        <v>6993.214195024465</v>
      </c>
      <c r="N24" s="17">
        <f ca="1">IF(ROI_Table[[#This Row],[Year]]&gt;1,SUM(N23,ROI_Table[[#This Row],[Rooftop Avoided Cost]]),SUM(-Input!$K$9,ROI_Table[[#This Row],[Rooftop Avoided Cost]]))</f>
        <v>10908.92938449758</v>
      </c>
      <c r="O24" s="72">
        <f ca="1">IF(ROI_Table[[#This Row],[Year]]&gt;Input!$E$9,SUM(ROI_Table[[#This Row],[Rooftop Avoided Cost]],O23),IF(ROI_Table[[#This Row],[Year]]&gt;1,SUM(ROI_Table[[#This Row],[Rooftop Avoided Cost]],-Input!$K$11,O23),SUM(ROI_Table[[#This Row],[Rooftop Avoided Cost]],-SUM(Input!$K$7:$K$8,Input!$K$10:$K$11))))</f>
        <v>3093.0057650419508</v>
      </c>
      <c r="P24" s="6"/>
      <c r="Q24" s="2" t="str">
        <f ca="1">IF(AND(ROI_Table[[#This Row],[Cash ROI]]&gt;1,$N23&lt;1),"Yes","No")</f>
        <v>No</v>
      </c>
      <c r="R24" s="2">
        <f>ROI_Table[[#This Row],[Year]]</f>
        <v>22</v>
      </c>
      <c r="S24" s="2"/>
      <c r="T24" s="2" t="str">
        <f ca="1">IF(AND(ROI_Table[[#This Row],[Financing ROI]]&gt;1,$O23&lt;1),"Yes","No")</f>
        <v>No</v>
      </c>
      <c r="U24" s="2">
        <f>ROI_Table[[#This Row],[Year]]</f>
        <v>22</v>
      </c>
    </row>
    <row r="25" spans="1:21" x14ac:dyDescent="0.25">
      <c r="A25" s="2">
        <v>23</v>
      </c>
      <c r="B25" s="12">
        <f>Input!$H$10*((1-((ROI_Table[[#This Row],[Year]]-1)*Input!$E$18)))</f>
        <v>-284.23820289855075</v>
      </c>
      <c r="C25" s="15">
        <f ca="1">VLOOKUP(SUM(ROI_Table[[#This Row],[Year]],Input!$E$12),Table33[#All],2,FALSE)</f>
        <v>24.573153337059885</v>
      </c>
      <c r="D25" s="16">
        <f ca="1">VLOOKUP(SUM(ROI_Table[[#This Row],[Year]],Input!$E$12),Table33[#All],3,FALSE)</f>
        <v>0.10492550639559022</v>
      </c>
      <c r="E25" s="16">
        <f ca="1">VLOOKUP(SUM(ROI_Table[[#This Row],[Year]],Input!$E$12),Table33[#All],4,FALSE)</f>
        <v>0.14566633653556729</v>
      </c>
      <c r="F25" s="16">
        <f ca="1">VLOOKUP(SUM(ROI_Table[[#This Row],[Year]],Input!$E$12),Table33[#All],5,FALSE)</f>
        <v>0.17282688996221873</v>
      </c>
      <c r="G25" s="17">
        <f ca="1">(SUM(ROI_Table[[#This Row],[Service Charge]],IF(Input!$H$6&lt;Input!$M$10,Input!$H$6*ROI_Table[[#This Row],[Block 1]],IF(Input!$H$6&lt;Input!$M$11,SUM(Input!$M$10*ROI_Table[[#This Row],[Block 1]],(Input!$H$6-Input!$M$10)*ROI_Table[[#This Row],[Block 2]]),SUM(Input!$M$10*ROI_Table[[#This Row],[Block 1]],Input!$M$10*ROI_Table[[#This Row],[Block 2]],(Input!$H$6-Input!$M$11)*ROI_Table[[#This Row],[Block 3]]))))*(1+Input!$N$14))*12</f>
        <v>3351.6249296536416</v>
      </c>
      <c r="H25" s="76">
        <f ca="1">(SUM(ROI_Table[[#This Row],[Service Charge]],Input!$M$8*Input!$N$8,IF(Input!$K$16&lt;Input!$M$10,Input!$K$16*ROI_Table[[#This Row],[Block 1]],IF(Input!$K$16&lt;Input!$M$11,SUM(Input!$M$10*ROI_Table[[#This Row],[Block 1]],(Input!$K$16-Input!$M$10)*ROI_Table[[#This Row],[Block 2]]),SUM(Input!$M$10*ROI_Table[[#This Row],[Block 1]],Input!$M$10*ROI_Table[[#This Row],[Block 2]],(Input!$K$16-Input!$M$11)*ROI_Table[[#This Row],[Block 3]]))))*(1+Input!$N$14))*12</f>
        <v>2823.2203907412777</v>
      </c>
      <c r="I25" s="17">
        <f ca="1">ROI_Table[[#This Row],[Annual Non-Solar Bill]]-ROI_Table[[#This Row],[Annual Shared Solar Bill]]</f>
        <v>528.40453891236393</v>
      </c>
      <c r="J25" s="71">
        <f ca="1">IF(ROI_Table[[#This Row],[Net Solar kWh]]&lt;0,SUM(ROI_Table[[#This Row],[Net Solar kWh]]*-Input!$N$13,IF(Input!$H$7&lt;Input!$M$10,Input!$H$7*ROI_Table[[#This Row],[Block 1]],IF(Input!$H$7&lt;Input!$M$11,SUM(Input!$M$10*ROI_Table[[#This Row],[Block 1]],(Input!$H$7-Input!$M$10)*ROI_Table[[#This Row],[Block 2]]),SUM(Input!$M$10*ROI_Table[[#This Row],[Block 1]],Input!$M$10*ROI_Table[[#This Row],[Block 2]],(Input!$H$7-Input!$M$11)*ROI_Table[[#This Row],[Block 3]])))),IF(SUM(ROI_Table[[#This Row],[Net Solar kWh]],Input!$H$7)&lt;Input!$M$10,SUM(ROI_Table[[#This Row],[Net Solar kWh]],Input!$H$7)*ROI_Table[[#This Row],[Block 1]],IF(SUM(ROI_Table[[#This Row],[Net Solar kWh]],Input!$H$7)&lt;Input!$M$11,SUM(Input!$M$10*ROI_Table[[#This Row],[Block 1]],(SUM(ROI_Table[[#This Row],[Net Solar kWh]],Input!$H$7)-Input!$M$10)*ROI_Table[[#This Row],[Block 2]]),SUM(Input!$M$10*ROI_Table[[#This Row],[Block 1]],Input!$M$10*ROI_Table[[#This Row],[Block 2]],(SUM(ROI_Table[[#This Row],[Net Solar kWh]],Input!$H$7)-Input!$M$11)*ROI_Table[[#This Row],[Block 3]]))))</f>
        <v>149.22408639007168</v>
      </c>
      <c r="K25" s="17">
        <f ca="1">IF(ROI_Table[[#This Row],[Monthly kWh Bill]]&lt;0,((ROI_Table[[#This Row],[Service Charge]]*(1+Input!$N$14))*12),(SUM(ROI_Table[[#This Row],[Service Charge]],ROI_Table[[#This Row],[Monthly kWh Bill]])*(1+Input!$N$14))*12)</f>
        <v>2297.2519147132252</v>
      </c>
      <c r="L25" s="17">
        <f ca="1">ROI_Table[[#This Row],[Annual Non-Solar Bill]]-ROI_Table[[#This Row],[Annual Rooftop Bill]]</f>
        <v>1054.3730149404164</v>
      </c>
      <c r="M25" s="76">
        <f ca="1">SUM(M24,ROI_Table[[#This Row],[Shared Solar Avoided Cost]])</f>
        <v>7521.6187339368289</v>
      </c>
      <c r="N25" s="17">
        <f ca="1">IF(ROI_Table[[#This Row],[Year]]&gt;1,SUM(N24,ROI_Table[[#This Row],[Rooftop Avoided Cost]]),SUM(-Input!$K$9,ROI_Table[[#This Row],[Rooftop Avoided Cost]]))</f>
        <v>11963.302399437996</v>
      </c>
      <c r="O25" s="72">
        <f ca="1">IF(ROI_Table[[#This Row],[Year]]&gt;Input!$E$9,SUM(ROI_Table[[#This Row],[Rooftop Avoided Cost]],O24),IF(ROI_Table[[#This Row],[Year]]&gt;1,SUM(ROI_Table[[#This Row],[Rooftop Avoided Cost]],-Input!$K$11,O24),SUM(ROI_Table[[#This Row],[Rooftop Avoided Cost]],-SUM(Input!$K$7:$K$8,Input!$K$10:$K$11))))</f>
        <v>4147.3787799823676</v>
      </c>
      <c r="P25" s="6"/>
      <c r="Q25" s="2" t="str">
        <f ca="1">IF(AND(ROI_Table[[#This Row],[Cash ROI]]&gt;1,$N24&lt;1),"Yes","No")</f>
        <v>No</v>
      </c>
      <c r="R25" s="2">
        <f>ROI_Table[[#This Row],[Year]]</f>
        <v>23</v>
      </c>
      <c r="S25" s="2"/>
      <c r="T25" s="2" t="str">
        <f ca="1">IF(AND(ROI_Table[[#This Row],[Financing ROI]]&gt;1,$O24&lt;1),"Yes","No")</f>
        <v>No</v>
      </c>
      <c r="U25" s="2">
        <f>ROI_Table[[#This Row],[Year]]</f>
        <v>23</v>
      </c>
    </row>
    <row r="26" spans="1:21" x14ac:dyDescent="0.25">
      <c r="A26" s="2">
        <v>24</v>
      </c>
      <c r="B26" s="12">
        <f>Input!$H$10*((1-((ROI_Table[[#This Row],[Year]]-1)*Input!$E$18)))</f>
        <v>-281.47860869565221</v>
      </c>
      <c r="C26" s="15">
        <f ca="1">VLOOKUP(SUM(ROI_Table[[#This Row],[Year]],Input!$E$12),Table33[#All],2,FALSE)</f>
        <v>24.941750637115781</v>
      </c>
      <c r="D26" s="16">
        <f ca="1">VLOOKUP(SUM(ROI_Table[[#This Row],[Year]],Input!$E$12),Table33[#All],3,FALSE)</f>
        <v>0.10649938899152406</v>
      </c>
      <c r="E26" s="16">
        <f ca="1">VLOOKUP(SUM(ROI_Table[[#This Row],[Year]],Input!$E$12),Table33[#All],4,FALSE)</f>
        <v>0.14785133158360078</v>
      </c>
      <c r="F26" s="16">
        <f ca="1">VLOOKUP(SUM(ROI_Table[[#This Row],[Year]],Input!$E$12),Table33[#All],5,FALSE)</f>
        <v>0.17541929331165199</v>
      </c>
      <c r="G26" s="17">
        <f ca="1">(SUM(ROI_Table[[#This Row],[Service Charge]],IF(Input!$H$6&lt;Input!$M$10,Input!$H$6*ROI_Table[[#This Row],[Block 1]],IF(Input!$H$6&lt;Input!$M$11,SUM(Input!$M$10*ROI_Table[[#This Row],[Block 1]],(Input!$H$6-Input!$M$10)*ROI_Table[[#This Row],[Block 2]]),SUM(Input!$M$10*ROI_Table[[#This Row],[Block 1]],Input!$M$10*ROI_Table[[#This Row],[Block 2]],(Input!$H$6-Input!$M$11)*ROI_Table[[#This Row],[Block 3]]))))*(1+Input!$N$14))*12</f>
        <v>3401.8993035984454</v>
      </c>
      <c r="H26" s="76">
        <f ca="1">(SUM(ROI_Table[[#This Row],[Service Charge]],Input!$M$8*Input!$N$8,IF(Input!$K$16&lt;Input!$M$10,Input!$K$16*ROI_Table[[#This Row],[Block 1]],IF(Input!$K$16&lt;Input!$M$11,SUM(Input!$M$10*ROI_Table[[#This Row],[Block 1]],(Input!$K$16-Input!$M$10)*ROI_Table[[#This Row],[Block 2]]),SUM(Input!$M$10*ROI_Table[[#This Row],[Block 1]],Input!$M$10*ROI_Table[[#This Row],[Block 2]],(Input!$K$16-Input!$M$11)*ROI_Table[[#This Row],[Block 3]]))))*(1+Input!$N$14))*12</f>
        <v>2852.9349322023963</v>
      </c>
      <c r="I26" s="17">
        <f ca="1">ROI_Table[[#This Row],[Annual Non-Solar Bill]]-ROI_Table[[#This Row],[Annual Shared Solar Bill]]</f>
        <v>548.96437139604905</v>
      </c>
      <c r="J26" s="71">
        <f ca="1">IF(ROI_Table[[#This Row],[Net Solar kWh]]&lt;0,SUM(ROI_Table[[#This Row],[Net Solar kWh]]*-Input!$N$13,IF(Input!$H$7&lt;Input!$M$10,Input!$H$7*ROI_Table[[#This Row],[Block 1]],IF(Input!$H$7&lt;Input!$M$11,SUM(Input!$M$10*ROI_Table[[#This Row],[Block 1]],(Input!$H$7-Input!$M$10)*ROI_Table[[#This Row],[Block 2]]),SUM(Input!$M$10*ROI_Table[[#This Row],[Block 1]],Input!$M$10*ROI_Table[[#This Row],[Block 2]],(Input!$H$7-Input!$M$11)*ROI_Table[[#This Row],[Block 3]])))),IF(SUM(ROI_Table[[#This Row],[Net Solar kWh]],Input!$H$7)&lt;Input!$M$10,SUM(ROI_Table[[#This Row],[Net Solar kWh]],Input!$H$7)*ROI_Table[[#This Row],[Block 1]],IF(SUM(ROI_Table[[#This Row],[Net Solar kWh]],Input!$H$7)&lt;Input!$M$11,SUM(Input!$M$10*ROI_Table[[#This Row],[Block 1]],(SUM(ROI_Table[[#This Row],[Net Solar kWh]],Input!$H$7)-Input!$M$10)*ROI_Table[[#This Row],[Block 2]]),SUM(Input!$M$10*ROI_Table[[#This Row],[Block 1]],Input!$M$10*ROI_Table[[#This Row],[Block 2]],(SUM(ROI_Table[[#This Row],[Net Solar kWh]],Input!$H$7)-Input!$M$11)*ROI_Table[[#This Row],[Block 3]]))))</f>
        <v>151.93594962167342</v>
      </c>
      <c r="K26" s="17">
        <f ca="1">IF(ROI_Table[[#This Row],[Monthly kWh Bill]]&lt;0,((ROI_Table[[#This Row],[Service Charge]]*(1+Input!$N$14))*12),(SUM(ROI_Table[[#This Row],[Service Charge]],ROI_Table[[#This Row],[Monthly kWh Bill]])*(1+Input!$N$14))*12)</f>
        <v>2337.9694420206752</v>
      </c>
      <c r="L26" s="17">
        <f ca="1">ROI_Table[[#This Row],[Annual Non-Solar Bill]]-ROI_Table[[#This Row],[Annual Rooftop Bill]]</f>
        <v>1063.9298615777702</v>
      </c>
      <c r="M26" s="76">
        <f ca="1">SUM(M25,ROI_Table[[#This Row],[Shared Solar Avoided Cost]])</f>
        <v>8070.5831053328784</v>
      </c>
      <c r="N26" s="17">
        <f ca="1">IF(ROI_Table[[#This Row],[Year]]&gt;1,SUM(N25,ROI_Table[[#This Row],[Rooftop Avoided Cost]]),SUM(-Input!$K$9,ROI_Table[[#This Row],[Rooftop Avoided Cost]]))</f>
        <v>13027.232261015766</v>
      </c>
      <c r="O26" s="72">
        <f ca="1">IF(ROI_Table[[#This Row],[Year]]&gt;Input!$E$9,SUM(ROI_Table[[#This Row],[Rooftop Avoided Cost]],O25),IF(ROI_Table[[#This Row],[Year]]&gt;1,SUM(ROI_Table[[#This Row],[Rooftop Avoided Cost]],-Input!$K$11,O25),SUM(ROI_Table[[#This Row],[Rooftop Avoided Cost]],-SUM(Input!$K$7:$K$8,Input!$K$10:$K$11))))</f>
        <v>5211.3086415601374</v>
      </c>
      <c r="P26" s="6"/>
      <c r="Q26" s="2" t="str">
        <f ca="1">IF(AND(ROI_Table[[#This Row],[Cash ROI]]&gt;1,$N25&lt;1),"Yes","No")</f>
        <v>No</v>
      </c>
      <c r="R26" s="2">
        <f>ROI_Table[[#This Row],[Year]]</f>
        <v>24</v>
      </c>
      <c r="S26" s="2"/>
      <c r="T26" s="2" t="str">
        <f ca="1">IF(AND(ROI_Table[[#This Row],[Financing ROI]]&gt;1,$O25&lt;1),"Yes","No")</f>
        <v>No</v>
      </c>
      <c r="U26" s="2">
        <f>ROI_Table[[#This Row],[Year]]</f>
        <v>24</v>
      </c>
    </row>
    <row r="27" spans="1:21" x14ac:dyDescent="0.25">
      <c r="A27" s="2">
        <v>25</v>
      </c>
      <c r="B27" s="12">
        <f>Input!$H$10*((1-((ROI_Table[[#This Row],[Year]]-1)*Input!$E$18)))</f>
        <v>-278.71901449275367</v>
      </c>
      <c r="C27" s="15">
        <f ca="1">VLOOKUP(SUM(ROI_Table[[#This Row],[Year]],Input!$E$12),Table33[#All],2,FALSE)</f>
        <v>25.315876896672517</v>
      </c>
      <c r="D27" s="16">
        <f ca="1">VLOOKUP(SUM(ROI_Table[[#This Row],[Year]],Input!$E$12),Table33[#All],3,FALSE)</f>
        <v>0.1080968798263969</v>
      </c>
      <c r="E27" s="16">
        <f ca="1">VLOOKUP(SUM(ROI_Table[[#This Row],[Year]],Input!$E$12),Table33[#All],4,FALSE)</f>
        <v>0.15006910155735478</v>
      </c>
      <c r="F27" s="16">
        <f ca="1">VLOOKUP(SUM(ROI_Table[[#This Row],[Year]],Input!$E$12),Table33[#All],5,FALSE)</f>
        <v>0.17805058271132676</v>
      </c>
      <c r="G27" s="17">
        <f ca="1">(SUM(ROI_Table[[#This Row],[Service Charge]],IF(Input!$H$6&lt;Input!$M$10,Input!$H$6*ROI_Table[[#This Row],[Block 1]],IF(Input!$H$6&lt;Input!$M$11,SUM(Input!$M$10*ROI_Table[[#This Row],[Block 1]],(Input!$H$6-Input!$M$10)*ROI_Table[[#This Row],[Block 2]]),SUM(Input!$M$10*ROI_Table[[#This Row],[Block 1]],Input!$M$10*ROI_Table[[#This Row],[Block 2]],(Input!$H$6-Input!$M$11)*ROI_Table[[#This Row],[Block 3]]))))*(1+Input!$N$14))*12</f>
        <v>3452.9277931524225</v>
      </c>
      <c r="H27" s="77">
        <f ca="1">(SUM(ROI_Table[[#This Row],[Service Charge]],Input!$M$8*Input!$N$8,IF(Input!$K$16&lt;Input!$M$10,Input!$K$16*ROI_Table[[#This Row],[Block 1]],IF(Input!$K$16&lt;Input!$M$11,SUM(Input!$M$10*ROI_Table[[#This Row],[Block 1]],(Input!$K$16-Input!$M$10)*ROI_Table[[#This Row],[Block 2]]),SUM(Input!$M$10*ROI_Table[[#This Row],[Block 1]],Input!$M$10*ROI_Table[[#This Row],[Block 2]],(Input!$K$16-Input!$M$11)*ROI_Table[[#This Row],[Block 3]]))))*(1+Input!$N$14))*12</f>
        <v>2883.0951917854322</v>
      </c>
      <c r="I27" s="74">
        <f ca="1">ROI_Table[[#This Row],[Annual Non-Solar Bill]]-ROI_Table[[#This Row],[Annual Shared Solar Bill]]</f>
        <v>569.83260136699027</v>
      </c>
      <c r="J27" s="73">
        <f ca="1">IF(ROI_Table[[#This Row],[Net Solar kWh]]&lt;0,SUM(ROI_Table[[#This Row],[Net Solar kWh]]*-Input!$N$13,IF(Input!$H$7&lt;Input!$M$10,Input!$H$7*ROI_Table[[#This Row],[Block 1]],IF(Input!$H$7&lt;Input!$M$11,SUM(Input!$M$10*ROI_Table[[#This Row],[Block 1]],(Input!$H$7-Input!$M$10)*ROI_Table[[#This Row],[Block 2]]),SUM(Input!$M$10*ROI_Table[[#This Row],[Block 1]],Input!$M$10*ROI_Table[[#This Row],[Block 2]],(Input!$H$7-Input!$M$11)*ROI_Table[[#This Row],[Block 3]])))),IF(SUM(ROI_Table[[#This Row],[Net Solar kWh]],Input!$H$7)&lt;Input!$M$10,SUM(ROI_Table[[#This Row],[Net Solar kWh]],Input!$H$7)*ROI_Table[[#This Row],[Block 1]],IF(SUM(ROI_Table[[#This Row],[Net Solar kWh]],Input!$H$7)&lt;Input!$M$11,SUM(Input!$M$10*ROI_Table[[#This Row],[Block 1]],(SUM(ROI_Table[[#This Row],[Net Solar kWh]],Input!$H$7)-Input!$M$10)*ROI_Table[[#This Row],[Block 2]]),SUM(Input!$M$10*ROI_Table[[#This Row],[Block 1]],Input!$M$10*ROI_Table[[#This Row],[Block 2]],(SUM(ROI_Table[[#This Row],[Net Solar kWh]],Input!$H$7)-Input!$M$11)*ROI_Table[[#This Row],[Block 3]]))))</f>
        <v>154.68570002413185</v>
      </c>
      <c r="K27" s="74">
        <f ca="1">IF(ROI_Table[[#This Row],[Monthly kWh Bill]]&lt;0,((ROI_Table[[#This Row],[Service Charge]]*(1+Input!$N$14))*12),(SUM(ROI_Table[[#This Row],[Service Charge]],ROI_Table[[#This Row],[Monthly kWh Bill]])*(1+Input!$N$14))*12)</f>
        <v>2379.2608437391918</v>
      </c>
      <c r="L27" s="74">
        <f ca="1">ROI_Table[[#This Row],[Annual Non-Solar Bill]]-ROI_Table[[#This Row],[Annual Rooftop Bill]]</f>
        <v>1073.6669494132307</v>
      </c>
      <c r="M27" s="77">
        <f ca="1">SUM(M26,ROI_Table[[#This Row],[Shared Solar Avoided Cost]])</f>
        <v>8640.4157066998687</v>
      </c>
      <c r="N27" s="74">
        <f ca="1">IF(ROI_Table[[#This Row],[Year]]&gt;1,SUM(N26,ROI_Table[[#This Row],[Rooftop Avoided Cost]]),SUM(-Input!$K$9,ROI_Table[[#This Row],[Rooftop Avoided Cost]]))</f>
        <v>14100.899210428997</v>
      </c>
      <c r="O27" s="75">
        <f ca="1">IF(ROI_Table[[#This Row],[Year]]&gt;Input!$E$9,SUM(ROI_Table[[#This Row],[Rooftop Avoided Cost]],O26),IF(ROI_Table[[#This Row],[Year]]&gt;1,SUM(ROI_Table[[#This Row],[Rooftop Avoided Cost]],-Input!$K$11,O26),SUM(ROI_Table[[#This Row],[Rooftop Avoided Cost]],-SUM(Input!$K$7:$K$8,Input!$K$10:$K$11))))</f>
        <v>6284.9755909733685</v>
      </c>
      <c r="P27" s="6"/>
      <c r="Q27" s="2" t="str">
        <f ca="1">IF(AND(ROI_Table[[#This Row],[Cash ROI]]&gt;1,$N26&lt;1),"Yes","No")</f>
        <v>No</v>
      </c>
      <c r="R27" s="2">
        <f>ROI_Table[[#This Row],[Year]]</f>
        <v>25</v>
      </c>
      <c r="S27" s="2"/>
      <c r="T27" s="2" t="str">
        <f ca="1">IF(AND(ROI_Table[[#This Row],[Financing ROI]]&gt;1,$O26&lt;1),"Yes","No")</f>
        <v>No</v>
      </c>
      <c r="U27" s="2">
        <f>ROI_Table[[#This Row],[Year]]</f>
        <v>25</v>
      </c>
    </row>
    <row r="28" spans="1:21" x14ac:dyDescent="0.25">
      <c r="R28" s="6"/>
    </row>
    <row r="29" spans="1:21" x14ac:dyDescent="0.25">
      <c r="O29" s="3"/>
      <c r="P29" s="3"/>
      <c r="R29" s="6"/>
    </row>
    <row r="31" spans="1:21" x14ac:dyDescent="0.25">
      <c r="D31" s="14"/>
    </row>
  </sheetData>
  <mergeCells count="4">
    <mergeCell ref="A1:G1"/>
    <mergeCell ref="H1:I1"/>
    <mergeCell ref="J1:L1"/>
    <mergeCell ref="M1:O1"/>
  </mergeCells>
  <phoneticPr fontId="8" type="noConversion"/>
  <pageMargins left="0.7" right="0.7" top="0.75" bottom="0.75" header="0.3" footer="0.3"/>
  <legacyDrawing r:id="rId1"/>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0"/>
  <sheetViews>
    <sheetView workbookViewId="0">
      <selection activeCell="E12" sqref="E12"/>
    </sheetView>
  </sheetViews>
  <sheetFormatPr defaultRowHeight="15" x14ac:dyDescent="0.25"/>
  <cols>
    <col min="1" max="1" width="11" customWidth="1"/>
    <col min="2" max="2" width="16.42578125" bestFit="1" customWidth="1"/>
  </cols>
  <sheetData>
    <row r="1" spans="1:5" x14ac:dyDescent="0.25">
      <c r="A1" s="136" t="s">
        <v>80</v>
      </c>
      <c r="B1" s="136"/>
      <c r="C1" s="136"/>
      <c r="D1" s="136"/>
      <c r="E1" s="136"/>
    </row>
    <row r="2" spans="1:5" x14ac:dyDescent="0.25">
      <c r="A2" t="s">
        <v>81</v>
      </c>
      <c r="B2" t="s">
        <v>25</v>
      </c>
      <c r="C2" t="s">
        <v>66</v>
      </c>
      <c r="D2" t="s">
        <v>67</v>
      </c>
      <c r="E2" t="s">
        <v>68</v>
      </c>
    </row>
    <row r="3" spans="1:5" x14ac:dyDescent="0.25">
      <c r="A3">
        <v>2016</v>
      </c>
      <c r="B3">
        <v>8.57</v>
      </c>
      <c r="C3">
        <v>8.77E-2</v>
      </c>
      <c r="D3">
        <v>0.1019</v>
      </c>
      <c r="E3">
        <v>0.12089999999999999</v>
      </c>
    </row>
    <row r="4" spans="1:5" x14ac:dyDescent="0.25">
      <c r="A4">
        <v>2017</v>
      </c>
      <c r="B4">
        <v>10.63</v>
      </c>
      <c r="C4">
        <v>8.3699999999999997E-2</v>
      </c>
      <c r="D4">
        <v>0.1019</v>
      </c>
      <c r="E4">
        <v>0.12089999999999999</v>
      </c>
    </row>
    <row r="5" spans="1:5" x14ac:dyDescent="0.25">
      <c r="A5">
        <v>2018</v>
      </c>
      <c r="B5">
        <v>12.65</v>
      </c>
      <c r="C5">
        <v>7.9699999999999993E-2</v>
      </c>
      <c r="D5">
        <v>0.1019</v>
      </c>
      <c r="E5">
        <v>0.12089999999999999</v>
      </c>
    </row>
    <row r="6" spans="1:5" x14ac:dyDescent="0.25">
      <c r="A6">
        <v>2019</v>
      </c>
      <c r="B6">
        <v>13.92</v>
      </c>
      <c r="C6">
        <v>7.5899999999999995E-2</v>
      </c>
      <c r="D6">
        <v>0.1019</v>
      </c>
      <c r="E6">
        <v>0.12089999999999999</v>
      </c>
    </row>
    <row r="7" spans="1:5" x14ac:dyDescent="0.25">
      <c r="A7">
        <v>2020</v>
      </c>
      <c r="B7">
        <v>13.92</v>
      </c>
      <c r="C7">
        <v>7.2900000000000006E-2</v>
      </c>
      <c r="D7">
        <v>0.1019</v>
      </c>
      <c r="E7">
        <v>0.12089999999999999</v>
      </c>
    </row>
    <row r="8" spans="1:5" x14ac:dyDescent="0.25">
      <c r="A8">
        <v>2021</v>
      </c>
      <c r="B8" s="5">
        <v>15.92</v>
      </c>
      <c r="C8">
        <v>7.2900000000000006E-2</v>
      </c>
      <c r="D8">
        <v>0.1019</v>
      </c>
      <c r="E8">
        <v>0.12089999999999999</v>
      </c>
    </row>
    <row r="9" spans="1:5" x14ac:dyDescent="0.25">
      <c r="A9">
        <v>2022</v>
      </c>
      <c r="B9" s="5">
        <v>15.92</v>
      </c>
      <c r="C9">
        <v>7.3400000000000007E-2</v>
      </c>
      <c r="D9">
        <v>0.1019</v>
      </c>
      <c r="E9">
        <v>0.12089999999999999</v>
      </c>
    </row>
    <row r="10" spans="1:5" x14ac:dyDescent="0.25">
      <c r="A10">
        <v>2023</v>
      </c>
      <c r="B10" s="5">
        <v>17.190000000000001</v>
      </c>
      <c r="C10">
        <v>7.3400000000000007E-2</v>
      </c>
      <c r="D10">
        <v>0.1019</v>
      </c>
      <c r="E10">
        <v>0.12089999999999999</v>
      </c>
    </row>
    <row r="11" spans="1:5" x14ac:dyDescent="0.25">
      <c r="A11">
        <v>2024</v>
      </c>
      <c r="B11" s="5">
        <f>B10*(1+Input!$N$16)</f>
        <v>17.447849999999999</v>
      </c>
      <c r="C11" s="9">
        <f>C10*(1+Input!$N$16)</f>
        <v>7.4500999999999998E-2</v>
      </c>
      <c r="D11" s="9">
        <f>D10*(1+Input!$N$16)</f>
        <v>0.10342849999999999</v>
      </c>
      <c r="E11" s="9">
        <f>E10*(1+Input!$N$16)</f>
        <v>0.12271349999999998</v>
      </c>
    </row>
    <row r="12" spans="1:5" x14ac:dyDescent="0.25">
      <c r="A12">
        <v>2025</v>
      </c>
      <c r="B12" s="5">
        <f>B11*(1+Input!$N$16)</f>
        <v>17.709567749999998</v>
      </c>
      <c r="C12" s="9">
        <f>C11*(1+Input!$N$16)</f>
        <v>7.5618514999999997E-2</v>
      </c>
      <c r="D12" s="9">
        <f>D11*(1+Input!$N$16)</f>
        <v>0.10497992749999999</v>
      </c>
      <c r="E12" s="9">
        <f>E11*(1+Input!$N$16)</f>
        <v>0.12455420249999996</v>
      </c>
    </row>
    <row r="13" spans="1:5" x14ac:dyDescent="0.25">
      <c r="A13">
        <v>2026</v>
      </c>
      <c r="B13" s="5">
        <f>B12*(1+Input!$N$16)</f>
        <v>17.975211266249996</v>
      </c>
      <c r="C13" s="9">
        <f>C12*(1+Input!$N$16)</f>
        <v>7.6752792724999991E-2</v>
      </c>
      <c r="D13" s="9">
        <f>D12*(1+Input!$N$16)</f>
        <v>0.10655462641249998</v>
      </c>
      <c r="E13" s="9">
        <f>E12*(1+Input!$N$16)</f>
        <v>0.12642251553749995</v>
      </c>
    </row>
    <row r="14" spans="1:5" x14ac:dyDescent="0.25">
      <c r="A14">
        <v>2027</v>
      </c>
      <c r="B14" s="5">
        <f>B13*(1+Input!$N$16)</f>
        <v>18.244839435243744</v>
      </c>
      <c r="C14" s="9">
        <f>C13*(1+Input!$N$16)</f>
        <v>7.7904084615874988E-2</v>
      </c>
      <c r="D14" s="9">
        <f>D13*(1+Input!$N$16)</f>
        <v>0.10815294580868746</v>
      </c>
      <c r="E14" s="9">
        <f>E13*(1+Input!$N$16)</f>
        <v>0.12831885327056244</v>
      </c>
    </row>
    <row r="15" spans="1:5" x14ac:dyDescent="0.25">
      <c r="A15">
        <v>2028</v>
      </c>
      <c r="B15" s="5">
        <f>B14*(1+Input!$N$16)</f>
        <v>18.518512026772399</v>
      </c>
      <c r="C15" s="9">
        <f>C14*(1+Input!$N$16)</f>
        <v>7.9072645885113105E-2</v>
      </c>
      <c r="D15" s="9">
        <f>D14*(1+Input!$N$16)</f>
        <v>0.10977523999581777</v>
      </c>
      <c r="E15" s="9">
        <f>E14*(1+Input!$N$16)</f>
        <v>0.13024363606962086</v>
      </c>
    </row>
    <row r="16" spans="1:5" x14ac:dyDescent="0.25">
      <c r="A16">
        <v>2029</v>
      </c>
      <c r="B16" s="5">
        <f>B15*(1+Input!$N$16)</f>
        <v>18.796289707173983</v>
      </c>
      <c r="C16" s="9">
        <f>C15*(1+Input!$N$16)</f>
        <v>8.0258735573389792E-2</v>
      </c>
      <c r="D16" s="9">
        <f>D15*(1+Input!$N$16)</f>
        <v>0.11142186859575502</v>
      </c>
      <c r="E16" s="9">
        <f>E15*(1+Input!$N$16)</f>
        <v>0.13219729061066515</v>
      </c>
    </row>
    <row r="17" spans="1:5" x14ac:dyDescent="0.25">
      <c r="A17">
        <v>2030</v>
      </c>
      <c r="B17" s="5">
        <f>B16*(1+Input!$N$16)</f>
        <v>19.078234052781593</v>
      </c>
      <c r="C17" s="9">
        <f>C16*(1+Input!$N$16)</f>
        <v>8.1462616606990626E-2</v>
      </c>
      <c r="D17" s="9">
        <f>D16*(1+Input!$N$16)</f>
        <v>0.11309319662469133</v>
      </c>
      <c r="E17" s="9">
        <f>E16*(1+Input!$N$16)</f>
        <v>0.13418024996982511</v>
      </c>
    </row>
    <row r="18" spans="1:5" x14ac:dyDescent="0.25">
      <c r="A18">
        <v>2031</v>
      </c>
      <c r="B18" s="5">
        <f>B17*(1+Input!$N$16)</f>
        <v>19.364407563573316</v>
      </c>
      <c r="C18" s="9">
        <f>C17*(1+Input!$N$16)</f>
        <v>8.2684555856095479E-2</v>
      </c>
      <c r="D18" s="9">
        <f>D17*(1+Input!$N$16)</f>
        <v>0.1147895945740617</v>
      </c>
      <c r="E18" s="9">
        <f>E17*(1+Input!$N$16)</f>
        <v>0.13619295371937248</v>
      </c>
    </row>
    <row r="19" spans="1:5" x14ac:dyDescent="0.25">
      <c r="A19">
        <v>2032</v>
      </c>
      <c r="B19" s="5">
        <f>B18*(1+Input!$N$16)</f>
        <v>19.654873677026913</v>
      </c>
      <c r="C19" s="9">
        <f>C18*(1+Input!$N$16)</f>
        <v>8.3924824193936903E-2</v>
      </c>
      <c r="D19" s="9">
        <f>D18*(1+Input!$N$16)</f>
        <v>0.11651143849267261</v>
      </c>
      <c r="E19" s="9">
        <f>E18*(1+Input!$N$16)</f>
        <v>0.13823584802516306</v>
      </c>
    </row>
    <row r="20" spans="1:5" x14ac:dyDescent="0.25">
      <c r="A20">
        <v>2033</v>
      </c>
      <c r="B20" s="5">
        <f>B19*(1+Input!$N$16)</f>
        <v>19.949696782182315</v>
      </c>
      <c r="C20" s="9">
        <f>C19*(1+Input!$N$16)</f>
        <v>8.5183696556845948E-2</v>
      </c>
      <c r="D20" s="9">
        <f>D19*(1+Input!$N$16)</f>
        <v>0.11825911007006268</v>
      </c>
      <c r="E20" s="9">
        <f>E19*(1+Input!$N$16)</f>
        <v>0.1403093857455405</v>
      </c>
    </row>
    <row r="21" spans="1:5" x14ac:dyDescent="0.25">
      <c r="A21">
        <v>2034</v>
      </c>
      <c r="B21" s="5">
        <f>B20*(1+Input!$N$16)</f>
        <v>20.248942233915049</v>
      </c>
      <c r="C21" s="9">
        <f>C20*(1+Input!$N$16)</f>
        <v>8.6461452005198627E-2</v>
      </c>
      <c r="D21" s="9">
        <f>D20*(1+Input!$N$16)</f>
        <v>0.1200329967211136</v>
      </c>
      <c r="E21" s="9">
        <f>E20*(1+Input!$N$16)</f>
        <v>0.14241402653172358</v>
      </c>
    </row>
    <row r="22" spans="1:5" x14ac:dyDescent="0.25">
      <c r="A22">
        <v>2035</v>
      </c>
      <c r="B22" s="5">
        <f>B21*(1+Input!$N$16)</f>
        <v>20.552676367423771</v>
      </c>
      <c r="C22" s="9">
        <f>C21*(1+Input!$N$16)</f>
        <v>8.7758373785276594E-2</v>
      </c>
      <c r="D22" s="9">
        <f>D21*(1+Input!$N$16)</f>
        <v>0.12183349167193029</v>
      </c>
      <c r="E22" s="9">
        <f>E21*(1+Input!$N$16)</f>
        <v>0.14455023692969943</v>
      </c>
    </row>
    <row r="23" spans="1:5" x14ac:dyDescent="0.25">
      <c r="A23">
        <v>2036</v>
      </c>
      <c r="B23" s="5">
        <f>B22*(1+Input!$N$16)</f>
        <v>20.860966512935125</v>
      </c>
      <c r="C23" s="9">
        <f>C22*(1+Input!$N$16)</f>
        <v>8.907474939205573E-2</v>
      </c>
      <c r="D23" s="9">
        <f>D22*(1+Input!$N$16)</f>
        <v>0.12366099404700924</v>
      </c>
      <c r="E23" s="9">
        <f>E22*(1+Input!$N$16)</f>
        <v>0.14671849048364491</v>
      </c>
    </row>
    <row r="24" spans="1:5" x14ac:dyDescent="0.25">
      <c r="A24">
        <v>2037</v>
      </c>
      <c r="B24" s="5">
        <f>B23*(1+Input!$N$16)</f>
        <v>21.173881010629149</v>
      </c>
      <c r="C24" s="9">
        <f>C23*(1+Input!$N$16)</f>
        <v>9.0410870632936555E-2</v>
      </c>
      <c r="D24" s="9">
        <f>D23*(1+Input!$N$16)</f>
        <v>0.12551590895771436</v>
      </c>
      <c r="E24" s="9">
        <f>E23*(1+Input!$N$16)</f>
        <v>0.14891926784089957</v>
      </c>
    </row>
    <row r="25" spans="1:5" x14ac:dyDescent="0.25">
      <c r="A25">
        <v>2038</v>
      </c>
      <c r="B25" s="5">
        <f>B24*(1+Input!$N$16)</f>
        <v>21.491489225788584</v>
      </c>
      <c r="C25" s="9">
        <f>C24*(1+Input!$N$16)</f>
        <v>9.1767033692430597E-2</v>
      </c>
      <c r="D25" s="9">
        <f>D24*(1+Input!$N$16)</f>
        <v>0.12739864759208006</v>
      </c>
      <c r="E25" s="9">
        <f>E24*(1+Input!$N$16)</f>
        <v>0.15115305685851305</v>
      </c>
    </row>
    <row r="26" spans="1:5" x14ac:dyDescent="0.25">
      <c r="A26">
        <v>2039</v>
      </c>
      <c r="B26" s="5">
        <f>B25*(1+Input!$N$16)</f>
        <v>21.813861564175411</v>
      </c>
      <c r="C26" s="9">
        <f>C25*(1+Input!$N$16)</f>
        <v>9.3143539197817052E-2</v>
      </c>
      <c r="D26" s="9">
        <f>D25*(1+Input!$N$16)</f>
        <v>0.12930962730596124</v>
      </c>
      <c r="E26" s="9">
        <f>E25*(1+Input!$N$16)</f>
        <v>0.15342035271139073</v>
      </c>
    </row>
    <row r="27" spans="1:5" x14ac:dyDescent="0.25">
      <c r="A27">
        <v>2040</v>
      </c>
      <c r="B27" s="5">
        <f>B26*(1+Input!$N$16)</f>
        <v>22.141069487638042</v>
      </c>
      <c r="C27" s="9">
        <f>C26*(1+Input!$N$16)</f>
        <v>9.4540692285784295E-2</v>
      </c>
      <c r="D27" s="9">
        <f>D26*(1+Input!$N$16)</f>
        <v>0.13124927171555065</v>
      </c>
      <c r="E27" s="9">
        <f>E26*(1+Input!$N$16)</f>
        <v>0.15572165800206159</v>
      </c>
    </row>
    <row r="28" spans="1:5" x14ac:dyDescent="0.25">
      <c r="A28">
        <v>2041</v>
      </c>
      <c r="B28" s="5">
        <f>B27*(1+Input!$N$16)</f>
        <v>22.473185529952609</v>
      </c>
      <c r="C28" s="9">
        <f>C27*(1+Input!$N$16)</f>
        <v>9.595880267007105E-2</v>
      </c>
      <c r="D28" s="9">
        <f>D27*(1+Input!$N$16)</f>
        <v>0.1332180107912839</v>
      </c>
      <c r="E28" s="9">
        <f>E27*(1+Input!$N$16)</f>
        <v>0.15805748287209248</v>
      </c>
    </row>
    <row r="29" spans="1:5" x14ac:dyDescent="0.25">
      <c r="A29">
        <v>2042</v>
      </c>
      <c r="B29" s="5">
        <f>B28*(1+Input!$N$16)</f>
        <v>22.810283312901895</v>
      </c>
      <c r="C29" s="9">
        <f>C28*(1+Input!$N$16)</f>
        <v>9.7398184710122113E-2</v>
      </c>
      <c r="D29" s="9">
        <f>D28*(1+Input!$N$16)</f>
        <v>0.13521628095315313</v>
      </c>
      <c r="E29" s="9">
        <f>E28*(1+Input!$N$16)</f>
        <v>0.16042834511517384</v>
      </c>
    </row>
    <row r="30" spans="1:5" x14ac:dyDescent="0.25">
      <c r="A30">
        <v>2043</v>
      </c>
      <c r="B30" s="5">
        <f>B29*(1+Input!$N$16)</f>
        <v>23.15243756259542</v>
      </c>
      <c r="C30" s="9">
        <f>C29*(1+Input!$N$16)</f>
        <v>9.8859157480773938E-2</v>
      </c>
      <c r="D30" s="9">
        <f>D29*(1+Input!$N$16)</f>
        <v>0.13724452516745042</v>
      </c>
      <c r="E30" s="9">
        <f>E29*(1+Input!$N$16)</f>
        <v>0.16283477029190144</v>
      </c>
    </row>
    <row r="31" spans="1:5" x14ac:dyDescent="0.25">
      <c r="A31">
        <v>2044</v>
      </c>
      <c r="B31" s="5">
        <f>B30*(1+Input!$N$16)</f>
        <v>23.499724126034348</v>
      </c>
      <c r="C31" s="9">
        <f>C30*(1+Input!$N$16)</f>
        <v>0.10034204484298553</v>
      </c>
      <c r="D31" s="9">
        <f>D30*(1+Input!$N$16)</f>
        <v>0.13930319304496216</v>
      </c>
      <c r="E31" s="9">
        <f>E30*(1+Input!$N$16)</f>
        <v>0.16527729184627996</v>
      </c>
    </row>
    <row r="32" spans="1:5" x14ac:dyDescent="0.25">
      <c r="A32">
        <v>2045</v>
      </c>
      <c r="B32" s="5">
        <f>B31*(1+Input!$N$16)</f>
        <v>23.852219987924862</v>
      </c>
      <c r="C32" s="9">
        <f>C31*(1+Input!$N$16)</f>
        <v>0.1018471755156303</v>
      </c>
      <c r="D32" s="9">
        <f>D31*(1+Input!$N$16)</f>
        <v>0.14139274094063659</v>
      </c>
      <c r="E32" s="9">
        <f>E31*(1+Input!$N$16)</f>
        <v>0.16775645122397415</v>
      </c>
    </row>
    <row r="33" spans="1:5" x14ac:dyDescent="0.25">
      <c r="A33">
        <v>2046</v>
      </c>
      <c r="B33" s="5">
        <f>B32*(1+Input!$N$16)</f>
        <v>24.210003287743731</v>
      </c>
      <c r="C33" s="9">
        <f>C32*(1+Input!$N$16)</f>
        <v>0.10337488314836475</v>
      </c>
      <c r="D33" s="9">
        <f>D32*(1+Input!$N$16)</f>
        <v>0.14351363205474613</v>
      </c>
      <c r="E33" s="9">
        <f>E32*(1+Input!$N$16)</f>
        <v>0.17027279799233375</v>
      </c>
    </row>
    <row r="34" spans="1:5" x14ac:dyDescent="0.25">
      <c r="A34">
        <v>2047</v>
      </c>
      <c r="B34" s="5">
        <f>B33*(1+Input!$N$16)</f>
        <v>24.573153337059885</v>
      </c>
      <c r="C34" s="9">
        <f>C33*(1+Input!$N$16)</f>
        <v>0.10492550639559022</v>
      </c>
      <c r="D34" s="9">
        <f>D33*(1+Input!$N$16)</f>
        <v>0.14566633653556729</v>
      </c>
      <c r="E34" s="9">
        <f>E33*(1+Input!$N$16)</f>
        <v>0.17282688996221873</v>
      </c>
    </row>
    <row r="35" spans="1:5" x14ac:dyDescent="0.25">
      <c r="A35">
        <v>2048</v>
      </c>
      <c r="B35" s="5">
        <f>B34*(1+Input!$N$16)</f>
        <v>24.941750637115781</v>
      </c>
      <c r="C35" s="9">
        <f>C34*(1+Input!$N$16)</f>
        <v>0.10649938899152406</v>
      </c>
      <c r="D35" s="9">
        <f>D34*(1+Input!$N$16)</f>
        <v>0.14785133158360078</v>
      </c>
      <c r="E35" s="9">
        <f>E34*(1+Input!$N$16)</f>
        <v>0.17541929331165199</v>
      </c>
    </row>
    <row r="36" spans="1:5" x14ac:dyDescent="0.25">
      <c r="A36">
        <v>2049</v>
      </c>
      <c r="B36" s="5">
        <f>B35*(1+Input!$N$16)</f>
        <v>25.315876896672517</v>
      </c>
      <c r="C36" s="9">
        <f>C35*(1+Input!$N$16)</f>
        <v>0.1080968798263969</v>
      </c>
      <c r="D36" s="9">
        <f>D35*(1+Input!$N$16)</f>
        <v>0.15006910155735478</v>
      </c>
      <c r="E36" s="9">
        <f>E35*(1+Input!$N$16)</f>
        <v>0.17805058271132676</v>
      </c>
    </row>
    <row r="37" spans="1:5" x14ac:dyDescent="0.25">
      <c r="A37">
        <v>2050</v>
      </c>
      <c r="B37" s="5">
        <f>B36*(1+Input!$N$16)</f>
        <v>25.695615050122601</v>
      </c>
      <c r="C37" s="9">
        <f>C36*(1+Input!$N$16)</f>
        <v>0.10971833302379284</v>
      </c>
      <c r="D37" s="9">
        <f>D36*(1+Input!$N$16)</f>
        <v>0.1523201380807151</v>
      </c>
      <c r="E37" s="9">
        <f>E36*(1+Input!$N$16)</f>
        <v>0.18072134145199664</v>
      </c>
    </row>
    <row r="38" spans="1:5" x14ac:dyDescent="0.25">
      <c r="A38">
        <v>2051</v>
      </c>
      <c r="B38" s="5">
        <f>B37*(1+Input!$N$16)</f>
        <v>26.081049275874438</v>
      </c>
      <c r="C38" s="9">
        <f>C37*(1+Input!$N$16)</f>
        <v>0.11136410801914973</v>
      </c>
      <c r="D38" s="9">
        <f>D37*(1+Input!$N$16)</f>
        <v>0.1546049401519258</v>
      </c>
      <c r="E38" s="9">
        <f>E37*(1+Input!$N$16)</f>
        <v>0.18343216157377656</v>
      </c>
    </row>
    <row r="39" spans="1:5" x14ac:dyDescent="0.25">
      <c r="A39">
        <v>2052</v>
      </c>
      <c r="B39" s="5">
        <f>B38*(1+Input!$N$16)</f>
        <v>26.472265015012553</v>
      </c>
      <c r="C39" s="9">
        <f>C38*(1+Input!$N$16)</f>
        <v>0.11303456963943696</v>
      </c>
      <c r="D39" s="9">
        <f>D38*(1+Input!$N$16)</f>
        <v>0.15692401425420469</v>
      </c>
      <c r="E39" s="9">
        <f>E38*(1+Input!$N$16)</f>
        <v>0.18618364399738319</v>
      </c>
    </row>
    <row r="40" spans="1:5" x14ac:dyDescent="0.25">
      <c r="A40">
        <v>2053</v>
      </c>
      <c r="B40" s="5">
        <f>B39*(1+Input!$N$16)</f>
        <v>26.869348990237739</v>
      </c>
      <c r="C40" s="9">
        <f>C39*(1+Input!$N$16)</f>
        <v>0.11473008818402851</v>
      </c>
      <c r="D40" s="9">
        <f>D39*(1+Input!$N$16)</f>
        <v>0.15927787446801775</v>
      </c>
      <c r="E40" s="9">
        <f>E39*(1+Input!$N$16)</f>
        <v>0.18897639865734392</v>
      </c>
    </row>
    <row r="41" spans="1:5" x14ac:dyDescent="0.25">
      <c r="A41">
        <v>2054</v>
      </c>
      <c r="B41" s="5">
        <f>B40*(1+Input!$N$16)</f>
        <v>27.272389225091302</v>
      </c>
      <c r="C41" s="9">
        <f>C40*(1+Input!$N$16)</f>
        <v>0.11645103950678892</v>
      </c>
      <c r="D41" s="9">
        <f>D40*(1+Input!$N$16)</f>
        <v>0.161667042585038</v>
      </c>
      <c r="E41" s="9">
        <f>E40*(1+Input!$N$16)</f>
        <v>0.19181104463720405</v>
      </c>
    </row>
    <row r="42" spans="1:5" x14ac:dyDescent="0.25">
      <c r="A42">
        <v>2055</v>
      </c>
      <c r="B42" s="5">
        <f>B41*(1+Input!$N$16)</f>
        <v>27.681475063467669</v>
      </c>
      <c r="C42" s="9">
        <f>C41*(1+Input!$N$16)</f>
        <v>0.11819780509939075</v>
      </c>
      <c r="D42" s="9">
        <f>D41*(1+Input!$N$16)</f>
        <v>0.16409204822381357</v>
      </c>
      <c r="E42" s="9">
        <f>E41*(1+Input!$N$16)</f>
        <v>0.19468821030676209</v>
      </c>
    </row>
    <row r="43" spans="1:5" x14ac:dyDescent="0.25">
      <c r="A43">
        <v>2056</v>
      </c>
      <c r="B43" s="5">
        <f>B42*(1+Input!$N$16)</f>
        <v>28.096697189419682</v>
      </c>
      <c r="C43" s="9">
        <f>C42*(1+Input!$N$16)</f>
        <v>0.1199707721758816</v>
      </c>
      <c r="D43" s="9">
        <f>D42*(1+Input!$N$16)</f>
        <v>0.16655342894717076</v>
      </c>
      <c r="E43" s="9">
        <f>E42*(1+Input!$N$16)</f>
        <v>0.19760853346136351</v>
      </c>
    </row>
    <row r="44" spans="1:5" x14ac:dyDescent="0.25">
      <c r="A44">
        <v>2057</v>
      </c>
      <c r="B44" s="5">
        <f>B43*(1+Input!$N$16)</f>
        <v>28.518147647260975</v>
      </c>
      <c r="C44" s="9">
        <f>C43*(1+Input!$N$16)</f>
        <v>0.12177033375851981</v>
      </c>
      <c r="D44" s="9">
        <f>D43*(1+Input!$N$16)</f>
        <v>0.1690517303813783</v>
      </c>
      <c r="E44" s="9">
        <f>E43*(1+Input!$N$16)</f>
        <v>0.20057266146328395</v>
      </c>
    </row>
    <row r="45" spans="1:5" x14ac:dyDescent="0.25">
      <c r="A45">
        <v>2058</v>
      </c>
      <c r="B45" s="5">
        <f>B44*(1+Input!$N$16)</f>
        <v>28.945919861969887</v>
      </c>
      <c r="C45" s="9">
        <f>C44*(1+Input!$N$16)</f>
        <v>0.12359688876489759</v>
      </c>
      <c r="D45" s="9">
        <f>D44*(1+Input!$N$16)</f>
        <v>0.17158750633709896</v>
      </c>
      <c r="E45" s="9">
        <f>E44*(1+Input!$N$16)</f>
        <v>0.2035812513852332</v>
      </c>
    </row>
    <row r="46" spans="1:5" x14ac:dyDescent="0.25">
      <c r="A46">
        <v>2059</v>
      </c>
      <c r="B46" s="5">
        <f>B45*(1+Input!$N$16)</f>
        <v>29.380108659899435</v>
      </c>
      <c r="C46" s="9">
        <f>C45*(1+Input!$N$16)</f>
        <v>0.12545084209637106</v>
      </c>
      <c r="D46" s="9">
        <f>D45*(1+Input!$N$16)</f>
        <v>0.17416131893215542</v>
      </c>
      <c r="E46" s="9">
        <f>E45*(1+Input!$N$16)</f>
        <v>0.20663497015601168</v>
      </c>
    </row>
    <row r="47" spans="1:5" x14ac:dyDescent="0.25">
      <c r="A47">
        <v>2060</v>
      </c>
      <c r="B47" s="5">
        <f>B46*(1+Input!$N$16)</f>
        <v>29.820810289797922</v>
      </c>
      <c r="C47" s="9">
        <f>C46*(1+Input!$N$16)</f>
        <v>0.1273326047278166</v>
      </c>
      <c r="D47" s="9">
        <f>D46*(1+Input!$N$16)</f>
        <v>0.17677373871613772</v>
      </c>
      <c r="E47" s="9">
        <f>E46*(1+Input!$N$16)</f>
        <v>0.20973449470835184</v>
      </c>
    </row>
    <row r="48" spans="1:5" x14ac:dyDescent="0.25">
      <c r="A48">
        <v>2061</v>
      </c>
      <c r="B48" s="5">
        <f>B47*(1+Input!$N$16)</f>
        <v>30.26812244414489</v>
      </c>
      <c r="C48" s="9">
        <f>C47*(1+Input!$N$16)</f>
        <v>0.12924259379873385</v>
      </c>
      <c r="D48" s="9">
        <f>D47*(1+Input!$N$16)</f>
        <v>0.17942534479687977</v>
      </c>
      <c r="E48" s="9">
        <f>E47*(1+Input!$N$16)</f>
        <v>0.2128805121289771</v>
      </c>
    </row>
    <row r="49" spans="1:5" x14ac:dyDescent="0.25">
      <c r="A49">
        <v>2062</v>
      </c>
      <c r="B49" s="5">
        <f>B48*(1+Input!$N$16)</f>
        <v>30.722144280807061</v>
      </c>
      <c r="C49" s="9">
        <f>C48*(1+Input!$N$16)</f>
        <v>0.13118123270571483</v>
      </c>
      <c r="D49" s="9">
        <f>D48*(1+Input!$N$16)</f>
        <v>0.18211672496883294</v>
      </c>
      <c r="E49" s="9">
        <f>E48*(1+Input!$N$16)</f>
        <v>0.21607371981091172</v>
      </c>
    </row>
    <row r="50" spans="1:5" x14ac:dyDescent="0.25">
      <c r="A50">
        <v>2063</v>
      </c>
      <c r="B50" s="5">
        <f>B49*(1+Input!$N$16)</f>
        <v>31.182976445019165</v>
      </c>
      <c r="C50" s="9">
        <f>C49*(1+Input!$N$16)</f>
        <v>0.13314895119630055</v>
      </c>
      <c r="D50" s="9">
        <f>D49*(1+Input!$N$16)</f>
        <v>0.18484847584336542</v>
      </c>
      <c r="E50" s="9">
        <f>E49*(1+Input!$N$16)</f>
        <v>0.21931482560807539</v>
      </c>
    </row>
  </sheetData>
  <mergeCells count="1">
    <mergeCell ref="A1:E1"/>
  </mergeCells>
  <phoneticPr fontId="8" type="noConversion"/>
  <pageMargins left="0.7" right="0.7" top="0.75" bottom="0.75" header="0.3" footer="0.3"/>
  <ignoredErrors>
    <ignoredError sqref="B34:B50 B11:B33 B7 B3:B6 B8:B10" calculatedColumn="1"/>
  </ignoredErrors>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2317B-87D8-4896-8CE2-CE000DB3C28E}">
  <dimension ref="A1:D41"/>
  <sheetViews>
    <sheetView workbookViewId="0">
      <selection activeCell="C3" sqref="C3"/>
    </sheetView>
  </sheetViews>
  <sheetFormatPr defaultRowHeight="15" x14ac:dyDescent="0.25"/>
  <cols>
    <col min="1" max="1" width="14.140625" bestFit="1" customWidth="1"/>
    <col min="2" max="2" width="13.7109375" bestFit="1" customWidth="1"/>
    <col min="3" max="3" width="13.7109375" customWidth="1"/>
    <col min="4" max="4" width="31.5703125" bestFit="1" customWidth="1"/>
  </cols>
  <sheetData>
    <row r="1" spans="1:4" x14ac:dyDescent="0.25">
      <c r="A1" t="s">
        <v>82</v>
      </c>
      <c r="B1" t="s">
        <v>83</v>
      </c>
      <c r="C1" t="s">
        <v>11</v>
      </c>
      <c r="D1" t="s">
        <v>84</v>
      </c>
    </row>
    <row r="2" spans="1:4" x14ac:dyDescent="0.25">
      <c r="A2" s="11">
        <v>50</v>
      </c>
      <c r="B2">
        <v>1</v>
      </c>
      <c r="C2" t="s">
        <v>15</v>
      </c>
      <c r="D2">
        <v>1</v>
      </c>
    </row>
    <row r="3" spans="1:4" x14ac:dyDescent="0.25">
      <c r="A3" s="11">
        <v>100</v>
      </c>
      <c r="B3">
        <v>2</v>
      </c>
      <c r="C3" t="s">
        <v>85</v>
      </c>
      <c r="D3">
        <v>2</v>
      </c>
    </row>
    <row r="4" spans="1:4" x14ac:dyDescent="0.25">
      <c r="A4" s="11">
        <v>150</v>
      </c>
      <c r="B4">
        <v>3</v>
      </c>
      <c r="D4">
        <v>3</v>
      </c>
    </row>
    <row r="5" spans="1:4" x14ac:dyDescent="0.25">
      <c r="A5" s="11">
        <v>200</v>
      </c>
      <c r="B5">
        <v>4</v>
      </c>
      <c r="D5">
        <v>4</v>
      </c>
    </row>
    <row r="6" spans="1:4" x14ac:dyDescent="0.25">
      <c r="A6" s="11">
        <v>250</v>
      </c>
      <c r="B6">
        <v>5</v>
      </c>
      <c r="D6">
        <v>5</v>
      </c>
    </row>
    <row r="7" spans="1:4" x14ac:dyDescent="0.25">
      <c r="A7" s="11">
        <v>300</v>
      </c>
      <c r="B7">
        <v>6</v>
      </c>
      <c r="D7">
        <v>6</v>
      </c>
    </row>
    <row r="8" spans="1:4" x14ac:dyDescent="0.25">
      <c r="A8" s="11">
        <v>350</v>
      </c>
      <c r="B8">
        <v>7</v>
      </c>
      <c r="D8">
        <v>7</v>
      </c>
    </row>
    <row r="9" spans="1:4" x14ac:dyDescent="0.25">
      <c r="A9" s="11">
        <v>400</v>
      </c>
      <c r="B9">
        <v>8</v>
      </c>
      <c r="D9">
        <v>8</v>
      </c>
    </row>
    <row r="10" spans="1:4" x14ac:dyDescent="0.25">
      <c r="A10" s="11">
        <v>450</v>
      </c>
      <c r="B10">
        <v>9</v>
      </c>
      <c r="D10">
        <v>9</v>
      </c>
    </row>
    <row r="11" spans="1:4" x14ac:dyDescent="0.25">
      <c r="A11" s="11">
        <v>500</v>
      </c>
      <c r="B11">
        <v>10</v>
      </c>
      <c r="D11">
        <v>10</v>
      </c>
    </row>
    <row r="12" spans="1:4" x14ac:dyDescent="0.25">
      <c r="A12" s="11">
        <v>550</v>
      </c>
      <c r="B12">
        <v>11</v>
      </c>
      <c r="D12">
        <v>11</v>
      </c>
    </row>
    <row r="13" spans="1:4" x14ac:dyDescent="0.25">
      <c r="A13" s="11">
        <v>600</v>
      </c>
      <c r="B13">
        <v>12</v>
      </c>
      <c r="D13">
        <v>12</v>
      </c>
    </row>
    <row r="14" spans="1:4" x14ac:dyDescent="0.25">
      <c r="A14" s="11">
        <v>650</v>
      </c>
      <c r="B14">
        <v>13</v>
      </c>
      <c r="D14">
        <v>13</v>
      </c>
    </row>
    <row r="15" spans="1:4" x14ac:dyDescent="0.25">
      <c r="A15" s="11">
        <v>700</v>
      </c>
      <c r="B15">
        <v>14</v>
      </c>
      <c r="D15">
        <v>14</v>
      </c>
    </row>
    <row r="16" spans="1:4" x14ac:dyDescent="0.25">
      <c r="A16" s="11">
        <v>750</v>
      </c>
      <c r="B16">
        <v>15</v>
      </c>
      <c r="D16">
        <v>15</v>
      </c>
    </row>
    <row r="17" spans="1:4" x14ac:dyDescent="0.25">
      <c r="A17" s="11">
        <v>800</v>
      </c>
      <c r="B17">
        <v>16</v>
      </c>
      <c r="D17">
        <v>16</v>
      </c>
    </row>
    <row r="18" spans="1:4" x14ac:dyDescent="0.25">
      <c r="A18" s="11">
        <v>850</v>
      </c>
      <c r="B18">
        <v>17</v>
      </c>
      <c r="D18">
        <v>17</v>
      </c>
    </row>
    <row r="19" spans="1:4" x14ac:dyDescent="0.25">
      <c r="A19" s="11">
        <v>900</v>
      </c>
      <c r="B19">
        <v>18</v>
      </c>
      <c r="D19">
        <v>18</v>
      </c>
    </row>
    <row r="20" spans="1:4" x14ac:dyDescent="0.25">
      <c r="A20" s="11">
        <v>950</v>
      </c>
      <c r="B20">
        <v>19</v>
      </c>
      <c r="D20">
        <v>19</v>
      </c>
    </row>
    <row r="21" spans="1:4" x14ac:dyDescent="0.25">
      <c r="A21" s="11">
        <v>1000</v>
      </c>
      <c r="B21">
        <v>20</v>
      </c>
      <c r="D21">
        <v>20</v>
      </c>
    </row>
    <row r="22" spans="1:4" x14ac:dyDescent="0.25">
      <c r="A22" s="11">
        <v>1050</v>
      </c>
      <c r="B22">
        <v>21</v>
      </c>
      <c r="D22">
        <v>21</v>
      </c>
    </row>
    <row r="23" spans="1:4" x14ac:dyDescent="0.25">
      <c r="A23" s="11">
        <v>1100</v>
      </c>
      <c r="B23">
        <v>22</v>
      </c>
      <c r="D23">
        <v>22</v>
      </c>
    </row>
    <row r="24" spans="1:4" x14ac:dyDescent="0.25">
      <c r="A24" s="11">
        <v>1150</v>
      </c>
      <c r="B24">
        <v>23</v>
      </c>
      <c r="D24">
        <v>23</v>
      </c>
    </row>
    <row r="25" spans="1:4" x14ac:dyDescent="0.25">
      <c r="A25" s="11">
        <v>1200</v>
      </c>
      <c r="B25">
        <v>24</v>
      </c>
      <c r="D25">
        <v>24</v>
      </c>
    </row>
    <row r="26" spans="1:4" x14ac:dyDescent="0.25">
      <c r="A26" s="11">
        <v>1250</v>
      </c>
      <c r="B26">
        <v>25</v>
      </c>
      <c r="D26">
        <v>25</v>
      </c>
    </row>
    <row r="27" spans="1:4" x14ac:dyDescent="0.25">
      <c r="A27" s="11">
        <v>1300</v>
      </c>
    </row>
    <row r="28" spans="1:4" x14ac:dyDescent="0.25">
      <c r="A28" s="11">
        <v>1350</v>
      </c>
    </row>
    <row r="29" spans="1:4" x14ac:dyDescent="0.25">
      <c r="A29" s="11">
        <v>1400</v>
      </c>
    </row>
    <row r="30" spans="1:4" x14ac:dyDescent="0.25">
      <c r="A30" s="11">
        <v>1450</v>
      </c>
    </row>
    <row r="31" spans="1:4" x14ac:dyDescent="0.25">
      <c r="A31" s="11">
        <v>1500</v>
      </c>
    </row>
    <row r="32" spans="1:4" x14ac:dyDescent="0.25">
      <c r="A32" s="11">
        <v>1550</v>
      </c>
    </row>
    <row r="33" spans="1:1" x14ac:dyDescent="0.25">
      <c r="A33" s="11">
        <v>1600</v>
      </c>
    </row>
    <row r="34" spans="1:1" x14ac:dyDescent="0.25">
      <c r="A34" s="11">
        <v>1650</v>
      </c>
    </row>
    <row r="35" spans="1:1" x14ac:dyDescent="0.25">
      <c r="A35" s="11">
        <v>1700</v>
      </c>
    </row>
    <row r="36" spans="1:1" x14ac:dyDescent="0.25">
      <c r="A36" s="11">
        <v>1750</v>
      </c>
    </row>
    <row r="37" spans="1:1" x14ac:dyDescent="0.25">
      <c r="A37" s="11">
        <v>1800</v>
      </c>
    </row>
    <row r="38" spans="1:1" x14ac:dyDescent="0.25">
      <c r="A38" s="11">
        <v>1850</v>
      </c>
    </row>
    <row r="39" spans="1:1" x14ac:dyDescent="0.25">
      <c r="A39" s="11">
        <v>1900</v>
      </c>
    </row>
    <row r="40" spans="1:1" x14ac:dyDescent="0.25">
      <c r="A40" s="11">
        <v>1950</v>
      </c>
    </row>
    <row r="41" spans="1:1" x14ac:dyDescent="0.25">
      <c r="A41" s="11">
        <v>2000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Calculator</vt:lpstr>
      <vt:lpstr>Input</vt:lpstr>
      <vt:lpstr>Calculator Table</vt:lpstr>
      <vt:lpstr>Rate Forecast</vt:lpstr>
      <vt:lpstr>Drop Down</vt:lpstr>
    </vt:vector>
  </TitlesOfParts>
  <Manager/>
  <Company>City of Provo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Charlie Fuller</dc:creator>
  <cp:keywords/>
  <dc:description/>
  <cp:lastModifiedBy>Jenna Li</cp:lastModifiedBy>
  <cp:revision/>
  <dcterms:created xsi:type="dcterms:W3CDTF">2017-03-15T14:13:27Z</dcterms:created>
  <dcterms:modified xsi:type="dcterms:W3CDTF">2024-01-22T23:44:42Z</dcterms:modified>
  <cp:category/>
  <cp:contentStatus/>
</cp:coreProperties>
</file>